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70" yWindow="70" windowWidth="15480" windowHeight="9700" firstSheet="20" activeTab="27"/>
  </bookViews>
  <sheets>
    <sheet name="F1201&amp;04" sheetId="46" r:id="rId1"/>
    <sheet name="F1202" sheetId="48" r:id="rId2"/>
    <sheet name="F1203" sheetId="54" r:id="rId3"/>
    <sheet name="F1204" sheetId="50" r:id="rId4"/>
    <sheet name="F1205d" sheetId="55" r:id="rId5"/>
    <sheet name="F1205" sheetId="56" r:id="rId6"/>
    <sheet name="F1206_1205" sheetId="43" r:id="rId7"/>
    <sheet name="dscountT" sheetId="34" r:id="rId8"/>
    <sheet name="conserv" sheetId="2" r:id="rId9"/>
    <sheet name="co2Table" sheetId="33" r:id="rId10"/>
    <sheet name="Carbon Dioxide Emissions " sheetId="32" r:id="rId11"/>
    <sheet name="Cap-and-Trade vs Carbon Tax" sheetId="30" r:id="rId12"/>
    <sheet name="Bar Chart" sheetId="31" r:id="rId13"/>
    <sheet name="ApplianWatts" sheetId="14" r:id="rId14"/>
    <sheet name="GHG-equiv" sheetId="28" r:id="rId15"/>
    <sheet name="Historical Vs Present Emissions" sheetId="29" r:id="rId16"/>
    <sheet name="levCost" sheetId="3" r:id="rId17"/>
    <sheet name="PPP2003" sheetId="13" r:id="rId18"/>
    <sheet name="problems" sheetId="8" r:id="rId19"/>
    <sheet name="public good" sheetId="1" r:id="rId20"/>
    <sheet name="Xq-conserv" sheetId="9" r:id="rId21"/>
    <sheet name="xq-loss uncert" sheetId="10" r:id="rId22"/>
    <sheet name="CounGrp" sheetId="44" r:id="rId23"/>
    <sheet name="Kyo" sheetId="51" r:id="rId24"/>
    <sheet name="GHGCount" sheetId="52" r:id="rId25"/>
    <sheet name="DI UNFCCC" sheetId="53" r:id="rId26"/>
    <sheet name="T1201 " sheetId="4" r:id="rId27"/>
    <sheet name="T1202Up" sheetId="45" r:id="rId28"/>
    <sheet name="Sheet1" sheetId="57" r:id="rId29"/>
  </sheets>
  <calcPr calcId="145621"/>
</workbook>
</file>

<file path=xl/calcChain.xml><?xml version="1.0" encoding="utf-8"?>
<calcChain xmlns="http://schemas.openxmlformats.org/spreadsheetml/2006/main">
  <c r="AH238" i="45" l="1"/>
  <c r="AH237" i="45"/>
  <c r="AH236" i="45"/>
  <c r="AH235" i="45"/>
  <c r="AH234" i="45"/>
  <c r="AH233" i="45"/>
  <c r="AH232" i="45"/>
  <c r="AH231" i="45"/>
  <c r="AH230" i="45"/>
  <c r="AH229" i="45"/>
  <c r="AH228" i="45"/>
  <c r="AH227" i="45"/>
  <c r="AH226" i="45"/>
  <c r="AH225" i="45"/>
  <c r="AH224" i="45"/>
  <c r="AH223" i="45"/>
  <c r="AH222" i="45"/>
  <c r="AH221" i="45"/>
  <c r="AH220" i="45"/>
  <c r="AH219" i="45"/>
  <c r="AH218" i="45"/>
  <c r="AH217" i="45"/>
  <c r="AH216" i="45"/>
  <c r="AH215" i="45"/>
  <c r="AH214" i="45"/>
  <c r="AH213" i="45"/>
  <c r="AH212" i="45"/>
  <c r="AH211" i="45"/>
  <c r="AH210" i="45"/>
  <c r="AH209" i="45"/>
  <c r="AH208" i="45"/>
  <c r="AH207" i="45"/>
  <c r="AH206" i="45"/>
  <c r="AH205" i="45"/>
  <c r="AH204" i="45"/>
  <c r="AH203" i="45"/>
  <c r="AH202" i="45"/>
  <c r="AH201" i="45"/>
  <c r="AH200" i="45"/>
  <c r="AH199" i="45"/>
  <c r="AH198" i="45"/>
  <c r="AH197" i="45"/>
  <c r="AH196" i="45"/>
  <c r="AH195" i="45"/>
  <c r="AH194" i="45"/>
  <c r="AH193" i="45"/>
  <c r="AH192" i="45"/>
  <c r="AH191" i="45"/>
  <c r="AH190" i="45"/>
  <c r="AH189" i="45"/>
  <c r="AH188" i="45"/>
  <c r="AH187" i="45"/>
  <c r="AH186" i="45"/>
  <c r="AH185" i="45"/>
  <c r="AH184" i="45"/>
  <c r="AH183" i="45"/>
  <c r="AH182" i="45"/>
  <c r="AH181" i="45"/>
  <c r="AH180" i="45"/>
  <c r="AH179" i="45"/>
  <c r="AH178" i="45"/>
  <c r="AH177" i="45"/>
  <c r="AH176" i="45"/>
  <c r="AH175" i="45"/>
  <c r="AH174" i="45"/>
  <c r="AH173" i="45"/>
  <c r="AH172" i="45"/>
  <c r="AH171" i="45"/>
  <c r="AH170" i="45"/>
  <c r="AH169" i="45"/>
  <c r="AH168" i="45"/>
  <c r="AH167" i="45"/>
  <c r="AH166" i="45"/>
  <c r="AH165" i="45"/>
  <c r="AH164" i="45"/>
  <c r="AH163" i="45"/>
  <c r="AH162" i="45"/>
  <c r="AH161" i="45"/>
  <c r="AH160" i="45"/>
  <c r="AH159" i="45"/>
  <c r="AH158" i="45"/>
  <c r="AH157" i="45"/>
  <c r="AH156" i="45"/>
  <c r="AH155" i="45"/>
  <c r="AH154" i="45"/>
  <c r="AH153" i="45"/>
  <c r="AH152" i="45"/>
  <c r="AH151" i="45"/>
  <c r="AH150" i="45"/>
  <c r="AH149" i="45"/>
  <c r="AH148" i="45"/>
  <c r="AH147" i="45"/>
  <c r="AH146" i="45"/>
  <c r="AH145" i="45"/>
  <c r="AH144" i="45"/>
  <c r="AH143" i="45"/>
  <c r="AH142" i="45"/>
  <c r="AH141" i="45"/>
  <c r="AH140" i="45"/>
  <c r="AH139" i="45"/>
  <c r="AH138" i="45"/>
  <c r="AH137" i="45"/>
  <c r="AH136" i="45"/>
  <c r="AH135" i="45"/>
  <c r="AH134" i="45"/>
  <c r="AH133" i="45"/>
  <c r="AH132" i="45"/>
  <c r="AH131" i="45"/>
  <c r="AH130" i="45"/>
  <c r="AH129" i="45"/>
  <c r="AH128" i="45"/>
  <c r="AH127" i="45"/>
  <c r="AH126" i="45"/>
  <c r="AH125" i="45"/>
  <c r="AH124" i="45"/>
  <c r="AH123" i="45"/>
  <c r="AH122" i="45"/>
  <c r="AH121" i="45"/>
  <c r="AH120" i="45"/>
  <c r="AH119" i="45"/>
  <c r="AH118" i="45"/>
  <c r="AH117" i="45"/>
  <c r="AH116" i="45"/>
  <c r="AH115" i="45"/>
  <c r="AH114" i="45"/>
  <c r="AH113" i="45"/>
  <c r="AH112" i="45"/>
  <c r="AH111" i="45"/>
  <c r="AH110" i="45"/>
  <c r="AH109" i="45"/>
  <c r="AH108" i="45"/>
  <c r="AH107" i="45"/>
  <c r="AH106" i="45"/>
  <c r="AH105" i="45"/>
  <c r="AH104" i="45"/>
  <c r="AH103" i="45"/>
  <c r="AH102" i="45"/>
  <c r="AH101" i="45"/>
  <c r="AH100" i="45"/>
  <c r="AH99" i="45"/>
  <c r="AH98" i="45"/>
  <c r="AH97" i="45"/>
  <c r="AH96" i="45"/>
  <c r="AH95" i="45"/>
  <c r="AH94" i="45"/>
  <c r="AH93" i="45"/>
  <c r="AH92" i="45"/>
  <c r="AH91" i="45"/>
  <c r="AH90" i="45"/>
  <c r="AH89" i="45"/>
  <c r="AH88" i="45"/>
  <c r="AH87" i="45"/>
  <c r="AH86" i="45"/>
  <c r="AH85" i="45"/>
  <c r="AH84" i="45"/>
  <c r="AH83" i="45"/>
  <c r="AH82" i="45"/>
  <c r="AH81" i="45"/>
  <c r="AH80" i="45"/>
  <c r="AH79" i="45"/>
  <c r="AH78" i="45"/>
  <c r="AH77" i="45"/>
  <c r="AH76" i="45"/>
  <c r="AH75" i="45"/>
  <c r="AH74" i="45"/>
  <c r="AH73" i="45"/>
  <c r="AH72" i="45"/>
  <c r="AH71" i="45"/>
  <c r="AH70" i="45"/>
  <c r="AH69" i="45"/>
  <c r="AH68" i="45"/>
  <c r="AH67" i="45"/>
  <c r="AH66" i="45"/>
  <c r="AH65" i="45"/>
  <c r="AH64" i="45"/>
  <c r="AH63" i="45"/>
  <c r="AH62" i="45"/>
  <c r="AH61" i="45"/>
  <c r="AH60" i="45"/>
  <c r="AH59" i="45"/>
  <c r="AH58" i="45"/>
  <c r="AH57" i="45"/>
  <c r="AH56" i="45"/>
  <c r="AH55" i="45"/>
  <c r="AH54" i="45"/>
  <c r="AH53" i="45"/>
  <c r="AH52" i="45"/>
  <c r="AH51" i="45"/>
  <c r="AH50" i="45"/>
  <c r="AH49" i="45"/>
  <c r="AH48" i="45"/>
  <c r="AH47" i="45"/>
  <c r="AH46" i="45"/>
  <c r="AH45" i="45"/>
  <c r="AH44" i="45"/>
  <c r="AH43" i="45"/>
  <c r="AH42" i="45"/>
  <c r="AH41" i="45"/>
  <c r="AH40" i="45"/>
  <c r="AH39" i="45"/>
  <c r="AH38" i="45"/>
  <c r="AH37" i="45"/>
  <c r="AH36" i="45"/>
  <c r="AH35" i="45"/>
  <c r="AH34" i="45"/>
  <c r="AH33" i="45"/>
  <c r="AH32" i="45"/>
  <c r="AH31" i="45"/>
  <c r="AH30" i="45"/>
  <c r="AH29" i="45"/>
  <c r="AH28" i="45"/>
  <c r="AH27" i="45"/>
  <c r="AH26" i="45"/>
  <c r="AH25" i="45"/>
  <c r="AH24" i="45"/>
  <c r="AH23" i="45"/>
  <c r="AH22" i="45"/>
  <c r="AH21" i="45"/>
  <c r="AH20" i="45"/>
  <c r="AH19" i="45"/>
  <c r="AH18" i="45"/>
  <c r="AH17" i="45"/>
  <c r="AH16" i="45"/>
  <c r="AH15" i="45"/>
  <c r="AH14" i="45"/>
  <c r="AH13" i="45"/>
  <c r="AH12" i="45"/>
  <c r="AH11" i="45"/>
  <c r="AH10" i="45"/>
  <c r="AH9" i="45"/>
  <c r="AH8" i="45"/>
  <c r="AH7" i="45"/>
  <c r="AE238" i="45"/>
  <c r="AE237" i="45"/>
  <c r="AE236" i="45"/>
  <c r="AE235" i="45"/>
  <c r="AE234" i="45"/>
  <c r="AE233" i="45"/>
  <c r="AE232" i="45"/>
  <c r="AE231" i="45"/>
  <c r="AE230" i="45"/>
  <c r="AE229" i="45"/>
  <c r="AE228" i="45"/>
  <c r="AE227" i="45"/>
  <c r="AE226" i="45"/>
  <c r="AE225" i="45"/>
  <c r="AE224" i="45"/>
  <c r="AE223" i="45"/>
  <c r="AE222" i="45"/>
  <c r="AE221" i="45"/>
  <c r="AE220" i="45"/>
  <c r="AE219" i="45"/>
  <c r="AE218" i="45"/>
  <c r="AE217" i="45"/>
  <c r="AE216" i="45"/>
  <c r="AE215" i="45"/>
  <c r="AE214" i="45"/>
  <c r="AE213" i="45"/>
  <c r="AE212" i="45"/>
  <c r="AE211" i="45"/>
  <c r="AE210" i="45"/>
  <c r="AE209" i="45"/>
  <c r="AE208" i="45"/>
  <c r="AE207" i="45"/>
  <c r="AE206" i="45"/>
  <c r="AE205" i="45"/>
  <c r="AE204" i="45"/>
  <c r="AE203" i="45"/>
  <c r="AE202" i="45"/>
  <c r="AE201" i="45"/>
  <c r="AE200" i="45"/>
  <c r="AE199" i="45"/>
  <c r="AE198" i="45"/>
  <c r="AE197" i="45"/>
  <c r="AE196" i="45"/>
  <c r="AE195" i="45"/>
  <c r="AE194" i="45"/>
  <c r="AE193" i="45"/>
  <c r="AE192" i="45"/>
  <c r="AE191" i="45"/>
  <c r="AE190" i="45"/>
  <c r="AE189" i="45"/>
  <c r="AE188" i="45"/>
  <c r="AE187" i="45"/>
  <c r="AE186" i="45"/>
  <c r="AE185" i="45"/>
  <c r="AE184" i="45"/>
  <c r="AE183" i="45"/>
  <c r="AE182" i="45"/>
  <c r="AE181" i="45"/>
  <c r="AE180" i="45"/>
  <c r="AE179" i="45"/>
  <c r="AE178" i="45"/>
  <c r="AE177" i="45"/>
  <c r="AE176" i="45"/>
  <c r="AE175" i="45"/>
  <c r="AE174" i="45"/>
  <c r="AE173" i="45"/>
  <c r="AE172" i="45"/>
  <c r="AE171" i="45"/>
  <c r="AE170" i="45"/>
  <c r="AE169" i="45"/>
  <c r="AE168" i="45"/>
  <c r="AE167" i="45"/>
  <c r="AE166" i="45"/>
  <c r="AE165" i="45"/>
  <c r="AE164" i="45"/>
  <c r="AE163" i="45"/>
  <c r="AE162" i="45"/>
  <c r="AE161" i="45"/>
  <c r="AE160" i="45"/>
  <c r="AE159" i="45"/>
  <c r="AE158" i="45"/>
  <c r="AE157" i="45"/>
  <c r="AE156" i="45"/>
  <c r="AE155" i="45"/>
  <c r="AE154" i="45"/>
  <c r="AE153" i="45"/>
  <c r="AE152" i="45"/>
  <c r="AE151" i="45"/>
  <c r="AE150" i="45"/>
  <c r="AE149" i="45"/>
  <c r="AE148" i="45"/>
  <c r="AE147" i="45"/>
  <c r="AE146" i="45"/>
  <c r="AE145" i="45"/>
  <c r="AE144" i="45"/>
  <c r="AE143" i="45"/>
  <c r="AE142" i="45"/>
  <c r="AE141" i="45"/>
  <c r="AE140" i="45"/>
  <c r="AE139" i="45"/>
  <c r="AE138" i="45"/>
  <c r="AE137" i="45"/>
  <c r="AE136" i="45"/>
  <c r="AE135" i="45"/>
  <c r="AE134" i="45"/>
  <c r="AE133" i="45"/>
  <c r="AE132" i="45"/>
  <c r="AE131" i="45"/>
  <c r="AE130" i="45"/>
  <c r="AE129" i="45"/>
  <c r="AE128" i="45"/>
  <c r="AE127" i="45"/>
  <c r="AE126" i="45"/>
  <c r="AE125" i="45"/>
  <c r="AE124" i="45"/>
  <c r="AE123" i="45"/>
  <c r="AE122" i="45"/>
  <c r="AE121" i="45"/>
  <c r="AE120" i="45"/>
  <c r="AE119" i="45"/>
  <c r="AE118" i="45"/>
  <c r="AE117" i="45"/>
  <c r="AE116" i="45"/>
  <c r="AE115" i="45"/>
  <c r="AE114" i="45"/>
  <c r="AE113" i="45"/>
  <c r="AE112" i="45"/>
  <c r="AE111" i="45"/>
  <c r="AE110" i="45"/>
  <c r="AE109" i="45"/>
  <c r="AE108" i="45"/>
  <c r="AE107" i="45"/>
  <c r="AE106" i="45"/>
  <c r="AE105" i="45"/>
  <c r="AE104" i="45"/>
  <c r="AE103" i="45"/>
  <c r="AE102" i="45"/>
  <c r="AE101" i="45"/>
  <c r="AE100" i="45"/>
  <c r="AE99" i="45"/>
  <c r="AE98" i="45"/>
  <c r="AE97" i="45"/>
  <c r="AE96" i="45"/>
  <c r="AE95" i="45"/>
  <c r="AE94" i="45"/>
  <c r="AE93" i="45"/>
  <c r="AE92" i="45"/>
  <c r="AE91" i="45"/>
  <c r="AE90" i="45"/>
  <c r="AE89" i="45"/>
  <c r="AE88" i="45"/>
  <c r="AE87" i="45"/>
  <c r="AE86" i="45"/>
  <c r="AE85" i="45"/>
  <c r="AE84" i="45"/>
  <c r="AE83" i="45"/>
  <c r="AE82" i="45"/>
  <c r="AE81" i="45"/>
  <c r="AE80" i="45"/>
  <c r="AE79" i="45"/>
  <c r="AE78" i="45"/>
  <c r="AE77" i="45"/>
  <c r="AE76" i="45"/>
  <c r="AE75" i="45"/>
  <c r="AE74" i="45"/>
  <c r="AE73" i="45"/>
  <c r="AE72" i="45"/>
  <c r="AE71" i="45"/>
  <c r="AE70" i="45"/>
  <c r="AE69" i="45"/>
  <c r="AE68" i="45"/>
  <c r="AE67" i="45"/>
  <c r="AE66" i="45"/>
  <c r="AE65" i="45"/>
  <c r="AE64" i="45"/>
  <c r="AE63" i="45"/>
  <c r="AE62" i="45"/>
  <c r="AE61" i="45"/>
  <c r="AE60" i="45"/>
  <c r="AE59" i="45"/>
  <c r="AE58" i="45"/>
  <c r="AE57" i="45"/>
  <c r="AE56" i="45"/>
  <c r="AE55" i="45"/>
  <c r="AE54" i="45"/>
  <c r="AE53" i="45"/>
  <c r="AE52" i="45"/>
  <c r="AE51" i="45"/>
  <c r="AE50" i="45"/>
  <c r="AE49" i="45"/>
  <c r="AE48" i="45"/>
  <c r="AE47" i="45"/>
  <c r="AE46" i="45"/>
  <c r="AE45" i="45"/>
  <c r="AE44" i="45"/>
  <c r="AE43" i="45"/>
  <c r="AE42" i="45"/>
  <c r="AE41" i="45"/>
  <c r="AE40" i="45"/>
  <c r="AE39" i="45"/>
  <c r="AE38" i="45"/>
  <c r="AE37" i="45"/>
  <c r="AE36" i="45"/>
  <c r="AE35" i="45"/>
  <c r="AE34" i="45"/>
  <c r="AE33" i="45"/>
  <c r="AE32" i="45"/>
  <c r="AE31" i="45"/>
  <c r="AE30" i="45"/>
  <c r="AE29" i="45"/>
  <c r="AE28" i="45"/>
  <c r="AE27" i="45"/>
  <c r="AE26" i="45"/>
  <c r="AE25" i="45"/>
  <c r="AE24" i="45"/>
  <c r="AE23" i="45"/>
  <c r="AE22" i="45"/>
  <c r="AE21" i="45"/>
  <c r="AE20" i="45"/>
  <c r="AE19" i="45"/>
  <c r="AE18" i="45"/>
  <c r="AE17" i="45"/>
  <c r="AE16" i="45"/>
  <c r="AE15" i="45"/>
  <c r="AE14" i="45"/>
  <c r="AE13" i="45"/>
  <c r="AE12" i="45"/>
  <c r="AE11" i="45"/>
  <c r="AE10" i="45"/>
  <c r="AE9" i="45"/>
  <c r="AE8" i="45"/>
  <c r="G19" i="55" l="1"/>
  <c r="G18" i="55"/>
  <c r="C2" i="55"/>
  <c r="B2" i="55"/>
  <c r="B6" i="55"/>
  <c r="F5" i="55"/>
  <c r="F4" i="55"/>
  <c r="F3" i="55"/>
  <c r="H3" i="55" s="1"/>
  <c r="H2" i="55"/>
  <c r="G2" i="55"/>
  <c r="I2" i="55" s="1"/>
  <c r="B8" i="55" l="1"/>
  <c r="G3" i="55"/>
  <c r="I3" i="55" s="1"/>
  <c r="F10" i="55"/>
  <c r="F11" i="55" s="1"/>
  <c r="F6" i="55"/>
  <c r="F7" i="55" s="1"/>
  <c r="B9" i="55"/>
  <c r="G11" i="55" s="1"/>
  <c r="B7" i="55"/>
  <c r="F12" i="55"/>
  <c r="G20" i="55" l="1"/>
  <c r="F15" i="55"/>
  <c r="G15" i="55" s="1"/>
  <c r="F14" i="55"/>
  <c r="F17" i="55"/>
  <c r="F19" i="55" s="1"/>
  <c r="F13" i="55"/>
  <c r="G13" i="55" s="1"/>
  <c r="G16" i="55" s="1"/>
  <c r="G17" i="55" s="1"/>
  <c r="G7" i="55"/>
  <c r="G21" i="55" l="1"/>
  <c r="F21" i="55"/>
  <c r="A46" i="51" l="1"/>
  <c r="A45" i="51"/>
  <c r="A44" i="51"/>
  <c r="A43" i="51"/>
  <c r="A42" i="51"/>
  <c r="A41" i="51"/>
  <c r="A40" i="51"/>
  <c r="A39" i="51"/>
  <c r="A38" i="51"/>
  <c r="A37" i="51"/>
  <c r="A36" i="51"/>
  <c r="A35" i="51"/>
  <c r="A34" i="51"/>
  <c r="A32" i="51"/>
  <c r="A31" i="51"/>
  <c r="A30" i="51"/>
  <c r="A29" i="51"/>
  <c r="A28" i="51"/>
  <c r="A27" i="51"/>
  <c r="A26" i="51"/>
  <c r="A25" i="51"/>
  <c r="A24" i="51"/>
  <c r="A23" i="51"/>
  <c r="A22" i="51"/>
  <c r="A21" i="51"/>
  <c r="A20" i="51"/>
  <c r="A19" i="51"/>
  <c r="A18" i="51"/>
  <c r="A17" i="51"/>
  <c r="A16" i="51"/>
  <c r="A15" i="51"/>
  <c r="A14" i="51"/>
  <c r="A13" i="51"/>
  <c r="A12" i="51"/>
  <c r="A11" i="51"/>
  <c r="F1" i="44"/>
  <c r="E27" i="44"/>
  <c r="E26" i="44"/>
  <c r="E23" i="44"/>
  <c r="E22" i="44"/>
  <c r="E21" i="44"/>
  <c r="E20" i="44"/>
  <c r="E18" i="44"/>
  <c r="E17" i="44"/>
  <c r="E16" i="44"/>
  <c r="E15" i="44"/>
  <c r="E14" i="44"/>
  <c r="E13" i="44"/>
  <c r="E12" i="44"/>
  <c r="E11" i="44"/>
  <c r="E10" i="44"/>
  <c r="E9" i="44"/>
  <c r="E8" i="44"/>
  <c r="E7" i="44"/>
  <c r="E6" i="44"/>
  <c r="E5" i="44"/>
  <c r="E4" i="44"/>
  <c r="E3" i="44"/>
  <c r="E2" i="44"/>
  <c r="A19" i="44"/>
  <c r="A16" i="44"/>
  <c r="A15" i="44"/>
  <c r="A14" i="44"/>
  <c r="A13" i="44"/>
  <c r="A12" i="44"/>
  <c r="A10" i="44"/>
  <c r="A9" i="44"/>
  <c r="A8" i="44"/>
  <c r="A6" i="44"/>
  <c r="A5" i="44"/>
  <c r="A4" i="44"/>
  <c r="L11" i="46" l="1"/>
  <c r="K10" i="46"/>
  <c r="L14" i="46"/>
  <c r="K14" i="46"/>
  <c r="G4" i="46"/>
  <c r="F8" i="46" l="1"/>
  <c r="E8" i="46"/>
  <c r="L2" i="46" l="1"/>
  <c r="M2" i="46"/>
  <c r="M3" i="46" s="1"/>
  <c r="K11" i="46"/>
  <c r="K7" i="46"/>
  <c r="K8" i="46" s="1"/>
  <c r="L8" i="46" s="1"/>
  <c r="K5" i="46"/>
  <c r="L5" i="46" s="1"/>
  <c r="K4" i="46"/>
  <c r="K3" i="46"/>
  <c r="M49" i="46"/>
  <c r="L49" i="46"/>
  <c r="K49" i="46"/>
  <c r="J49" i="46"/>
  <c r="I49" i="46"/>
  <c r="H49" i="46"/>
  <c r="G49" i="46"/>
  <c r="F49" i="46"/>
  <c r="E49" i="46"/>
  <c r="D49" i="46"/>
  <c r="C49" i="46"/>
  <c r="B49" i="46"/>
  <c r="N49" i="46" s="1"/>
  <c r="D44" i="46"/>
  <c r="C44" i="46"/>
  <c r="C46" i="46" s="1"/>
  <c r="B39" i="46"/>
  <c r="B38" i="46"/>
  <c r="B37" i="46"/>
  <c r="B36" i="46"/>
  <c r="B35" i="46"/>
  <c r="B34" i="46"/>
  <c r="B33" i="46"/>
  <c r="B30" i="46"/>
  <c r="B29" i="46"/>
  <c r="B28" i="46"/>
  <c r="B27" i="46"/>
  <c r="B31" i="46" s="1"/>
  <c r="B10" i="46"/>
  <c r="B9" i="46"/>
  <c r="D8" i="46"/>
  <c r="C8" i="46"/>
  <c r="D4" i="46"/>
  <c r="C4" i="46"/>
  <c r="I2" i="46"/>
  <c r="G2" i="46"/>
  <c r="I1" i="46"/>
  <c r="G1" i="46"/>
  <c r="M1" i="46" l="1"/>
  <c r="M4" i="46"/>
  <c r="L1" i="46"/>
  <c r="C10" i="46"/>
  <c r="F10" i="46"/>
  <c r="E10" i="46"/>
  <c r="L4" i="46"/>
  <c r="D9" i="46"/>
  <c r="F9" i="46"/>
  <c r="E9" i="46"/>
  <c r="L3" i="46"/>
  <c r="B32" i="46"/>
  <c r="K13" i="46"/>
  <c r="C9" i="46"/>
  <c r="D10" i="46"/>
  <c r="I5" i="45"/>
  <c r="H5" i="45"/>
  <c r="A6" i="45" l="1"/>
  <c r="L5" i="45"/>
  <c r="B5" i="45" s="1"/>
  <c r="M5" i="45"/>
  <c r="C5" i="45" s="1"/>
  <c r="N5" i="45"/>
  <c r="D5" i="45" s="1"/>
  <c r="O5" i="45"/>
  <c r="E5" i="45" s="1"/>
  <c r="P5" i="45"/>
  <c r="F5" i="45" s="1"/>
  <c r="R5" i="45"/>
  <c r="S5" i="45"/>
  <c r="K7" i="45"/>
  <c r="A7" i="45" s="1"/>
  <c r="L7" i="45"/>
  <c r="B7" i="45" s="1"/>
  <c r="M7" i="45"/>
  <c r="C7" i="45" s="1"/>
  <c r="N7" i="45"/>
  <c r="D7" i="45" s="1"/>
  <c r="O7" i="45"/>
  <c r="P7" i="45"/>
  <c r="F7" i="45" s="1"/>
  <c r="AB7" i="45"/>
  <c r="Q7" i="45" s="1"/>
  <c r="G7" i="45" s="1"/>
  <c r="K8" i="45"/>
  <c r="A8" i="45" s="1"/>
  <c r="L8" i="45"/>
  <c r="B8" i="45" s="1"/>
  <c r="M8" i="45"/>
  <c r="C8" i="45" s="1"/>
  <c r="N8" i="45"/>
  <c r="D8" i="45" s="1"/>
  <c r="O8" i="45"/>
  <c r="E8" i="45" s="1"/>
  <c r="P8" i="45"/>
  <c r="F8" i="45" s="1"/>
  <c r="AB8" i="45"/>
  <c r="K9" i="45"/>
  <c r="A9" i="45" s="1"/>
  <c r="L9" i="45"/>
  <c r="B9" i="45" s="1"/>
  <c r="M9" i="45"/>
  <c r="C9" i="45" s="1"/>
  <c r="N9" i="45"/>
  <c r="D9" i="45" s="1"/>
  <c r="O9" i="45"/>
  <c r="P9" i="45"/>
  <c r="F9" i="45" s="1"/>
  <c r="AB9" i="45"/>
  <c r="Q8" i="45" s="1"/>
  <c r="K10" i="45"/>
  <c r="A10" i="45" s="1"/>
  <c r="L10" i="45"/>
  <c r="B10" i="45" s="1"/>
  <c r="M10" i="45"/>
  <c r="C10" i="45" s="1"/>
  <c r="N10" i="45"/>
  <c r="D10" i="45" s="1"/>
  <c r="O10" i="45"/>
  <c r="E10" i="45" s="1"/>
  <c r="P10" i="45"/>
  <c r="F10" i="45" s="1"/>
  <c r="AB10" i="45"/>
  <c r="K11" i="45"/>
  <c r="A11" i="45" s="1"/>
  <c r="L11" i="45"/>
  <c r="B11" i="45" s="1"/>
  <c r="M11" i="45"/>
  <c r="C11" i="45" s="1"/>
  <c r="N11" i="45"/>
  <c r="D11" i="45" s="1"/>
  <c r="O11" i="45"/>
  <c r="E11" i="45" s="1"/>
  <c r="P11" i="45"/>
  <c r="F11" i="45" s="1"/>
  <c r="AB11" i="45"/>
  <c r="Q9" i="45" s="1"/>
  <c r="G9" i="45" s="1"/>
  <c r="K12" i="45"/>
  <c r="A12" i="45" s="1"/>
  <c r="L12" i="45"/>
  <c r="B12" i="45" s="1"/>
  <c r="M12" i="45"/>
  <c r="C12" i="45" s="1"/>
  <c r="N12" i="45"/>
  <c r="D12" i="45" s="1"/>
  <c r="O12" i="45"/>
  <c r="E12" i="45" s="1"/>
  <c r="P12" i="45"/>
  <c r="F12" i="45" s="1"/>
  <c r="AB12" i="45"/>
  <c r="K13" i="45"/>
  <c r="L13" i="45"/>
  <c r="M13" i="45"/>
  <c r="N13" i="45"/>
  <c r="O13" i="45"/>
  <c r="P13" i="45"/>
  <c r="AB13" i="45"/>
  <c r="Q10" i="45" s="1"/>
  <c r="K14" i="45"/>
  <c r="A13" i="45" s="1"/>
  <c r="L14" i="45"/>
  <c r="B13" i="45" s="1"/>
  <c r="M14" i="45"/>
  <c r="C13" i="45" s="1"/>
  <c r="N14" i="45"/>
  <c r="D13" i="45" s="1"/>
  <c r="O14" i="45"/>
  <c r="E13" i="45" s="1"/>
  <c r="P14" i="45"/>
  <c r="AB14" i="45"/>
  <c r="Q11" i="45" s="1"/>
  <c r="K15" i="45"/>
  <c r="A14" i="45" s="1"/>
  <c r="L15" i="45"/>
  <c r="B14" i="45" s="1"/>
  <c r="M15" i="45"/>
  <c r="C14" i="45" s="1"/>
  <c r="N15" i="45"/>
  <c r="D14" i="45" s="1"/>
  <c r="O15" i="45"/>
  <c r="E14" i="45" s="1"/>
  <c r="P15" i="45"/>
  <c r="F14" i="45" s="1"/>
  <c r="AB15" i="45"/>
  <c r="K16" i="45"/>
  <c r="A15" i="45" s="1"/>
  <c r="L16" i="45"/>
  <c r="B15" i="45" s="1"/>
  <c r="M16" i="45"/>
  <c r="C15" i="45" s="1"/>
  <c r="N16" i="45"/>
  <c r="D15" i="45" s="1"/>
  <c r="O16" i="45"/>
  <c r="E15" i="45" s="1"/>
  <c r="P16" i="45"/>
  <c r="AB16" i="45"/>
  <c r="K17" i="45"/>
  <c r="A16" i="45" s="1"/>
  <c r="L17" i="45"/>
  <c r="B16" i="45" s="1"/>
  <c r="M17" i="45"/>
  <c r="C16" i="45" s="1"/>
  <c r="N17" i="45"/>
  <c r="D16" i="45" s="1"/>
  <c r="O17" i="45"/>
  <c r="E16" i="45" s="1"/>
  <c r="P17" i="45"/>
  <c r="AB17" i="45"/>
  <c r="Q12" i="45" s="1"/>
  <c r="AB18" i="45"/>
  <c r="K18" i="45"/>
  <c r="L18" i="45"/>
  <c r="M18" i="45"/>
  <c r="N18" i="45"/>
  <c r="O18" i="45"/>
  <c r="P18" i="45"/>
  <c r="AB19" i="45"/>
  <c r="AB20" i="45"/>
  <c r="AB21" i="45"/>
  <c r="AB22" i="45"/>
  <c r="Q13" i="45" s="1"/>
  <c r="AB23" i="45"/>
  <c r="Q14" i="45" s="1"/>
  <c r="G13" i="45" s="1"/>
  <c r="AB24" i="45"/>
  <c r="AB25" i="45"/>
  <c r="Q15" i="45" s="1"/>
  <c r="K19" i="45"/>
  <c r="A17" i="45" s="1"/>
  <c r="L19" i="45"/>
  <c r="B17" i="45" s="1"/>
  <c r="M19" i="45"/>
  <c r="C17" i="45" s="1"/>
  <c r="N19" i="45"/>
  <c r="D17" i="45" s="1"/>
  <c r="O19" i="45"/>
  <c r="E17" i="45" s="1"/>
  <c r="P19" i="45"/>
  <c r="AB26" i="45"/>
  <c r="Q16" i="45" s="1"/>
  <c r="K20" i="45"/>
  <c r="A18" i="45" s="1"/>
  <c r="L20" i="45"/>
  <c r="B18" i="45" s="1"/>
  <c r="M20" i="45"/>
  <c r="C18" i="45" s="1"/>
  <c r="N20" i="45"/>
  <c r="D18" i="45" s="1"/>
  <c r="O20" i="45"/>
  <c r="E18" i="45" s="1"/>
  <c r="P20" i="45"/>
  <c r="F18" i="45" s="1"/>
  <c r="AB27" i="45"/>
  <c r="K21" i="45"/>
  <c r="A19" i="45" s="1"/>
  <c r="L21" i="45"/>
  <c r="B19" i="45" s="1"/>
  <c r="M21" i="45"/>
  <c r="C19" i="45" s="1"/>
  <c r="N21" i="45"/>
  <c r="D19" i="45" s="1"/>
  <c r="O21" i="45"/>
  <c r="E19" i="45" s="1"/>
  <c r="P21" i="45"/>
  <c r="AB28" i="45"/>
  <c r="Q17" i="45" s="1"/>
  <c r="K22" i="45"/>
  <c r="A20" i="45" s="1"/>
  <c r="L22" i="45"/>
  <c r="B20" i="45" s="1"/>
  <c r="M22" i="45"/>
  <c r="C20" i="45" s="1"/>
  <c r="N22" i="45"/>
  <c r="D20" i="45" s="1"/>
  <c r="O22" i="45"/>
  <c r="E20" i="45" s="1"/>
  <c r="P22" i="45"/>
  <c r="F20" i="45" s="1"/>
  <c r="AB29" i="45"/>
  <c r="AB30" i="45"/>
  <c r="K23" i="45"/>
  <c r="L23" i="45"/>
  <c r="M23" i="45"/>
  <c r="N23" i="45"/>
  <c r="O23" i="45"/>
  <c r="P23" i="45"/>
  <c r="AB31" i="45"/>
  <c r="Q18" i="45" s="1"/>
  <c r="AB32" i="45"/>
  <c r="K24" i="45"/>
  <c r="A21" i="45" s="1"/>
  <c r="L24" i="45"/>
  <c r="B21" i="45" s="1"/>
  <c r="M24" i="45"/>
  <c r="C21" i="45" s="1"/>
  <c r="N24" i="45"/>
  <c r="D21" i="45" s="1"/>
  <c r="O24" i="45"/>
  <c r="E21" i="45" s="1"/>
  <c r="P24" i="45"/>
  <c r="F21" i="45" s="1"/>
  <c r="AB33" i="45"/>
  <c r="K25" i="45"/>
  <c r="L25" i="45"/>
  <c r="M25" i="45"/>
  <c r="N25" i="45"/>
  <c r="O25" i="45"/>
  <c r="P25" i="45"/>
  <c r="AB34" i="45"/>
  <c r="K26" i="45"/>
  <c r="L26" i="45"/>
  <c r="M26" i="45"/>
  <c r="N26" i="45"/>
  <c r="O26" i="45"/>
  <c r="P26" i="45"/>
  <c r="AB35" i="45"/>
  <c r="K27" i="45"/>
  <c r="A22" i="45" s="1"/>
  <c r="L27" i="45"/>
  <c r="B22" i="45" s="1"/>
  <c r="M27" i="45"/>
  <c r="C22" i="45" s="1"/>
  <c r="N27" i="45"/>
  <c r="D22" i="45" s="1"/>
  <c r="O27" i="45"/>
  <c r="E22" i="45" s="1"/>
  <c r="P27" i="45"/>
  <c r="F22" i="45" s="1"/>
  <c r="AB36" i="45"/>
  <c r="K28" i="45"/>
  <c r="A23" i="45" s="1"/>
  <c r="L28" i="45"/>
  <c r="B23" i="45" s="1"/>
  <c r="M28" i="45"/>
  <c r="C23" i="45" s="1"/>
  <c r="N28" i="45"/>
  <c r="D23" i="45" s="1"/>
  <c r="O28" i="45"/>
  <c r="E23" i="45" s="1"/>
  <c r="P28" i="45"/>
  <c r="AB37" i="45"/>
  <c r="K29" i="45"/>
  <c r="L29" i="45"/>
  <c r="M29" i="45"/>
  <c r="N29" i="45"/>
  <c r="O29" i="45"/>
  <c r="P29" i="45"/>
  <c r="AB38" i="45"/>
  <c r="K30" i="45"/>
  <c r="L30" i="45"/>
  <c r="M30" i="45"/>
  <c r="N30" i="45"/>
  <c r="O30" i="45"/>
  <c r="P30" i="45"/>
  <c r="AB39" i="45"/>
  <c r="AB40" i="45"/>
  <c r="K31" i="45"/>
  <c r="A24" i="45" s="1"/>
  <c r="L31" i="45"/>
  <c r="B24" i="45" s="1"/>
  <c r="M31" i="45"/>
  <c r="C24" i="45" s="1"/>
  <c r="N31" i="45"/>
  <c r="D24" i="45" s="1"/>
  <c r="O31" i="45"/>
  <c r="E24" i="45" s="1"/>
  <c r="P31" i="45"/>
  <c r="AB41" i="45"/>
  <c r="K32" i="45"/>
  <c r="A25" i="45" s="1"/>
  <c r="L32" i="45"/>
  <c r="B25" i="45" s="1"/>
  <c r="M32" i="45"/>
  <c r="C25" i="45" s="1"/>
  <c r="N32" i="45"/>
  <c r="D25" i="45" s="1"/>
  <c r="O32" i="45"/>
  <c r="E25" i="45" s="1"/>
  <c r="P32" i="45"/>
  <c r="F25" i="45" s="1"/>
  <c r="AB42" i="45"/>
  <c r="K33" i="45"/>
  <c r="A26" i="45" s="1"/>
  <c r="L33" i="45"/>
  <c r="B26" i="45" s="1"/>
  <c r="M33" i="45"/>
  <c r="C26" i="45" s="1"/>
  <c r="N33" i="45"/>
  <c r="D26" i="45" s="1"/>
  <c r="O33" i="45"/>
  <c r="E26" i="45" s="1"/>
  <c r="P33" i="45"/>
  <c r="AB43" i="45"/>
  <c r="K34" i="45"/>
  <c r="A27" i="45" s="1"/>
  <c r="L34" i="45"/>
  <c r="B27" i="45" s="1"/>
  <c r="M34" i="45"/>
  <c r="C27" i="45" s="1"/>
  <c r="N34" i="45"/>
  <c r="D27" i="45" s="1"/>
  <c r="O34" i="45"/>
  <c r="E27" i="45" s="1"/>
  <c r="P34" i="45"/>
  <c r="F27" i="45" s="1"/>
  <c r="AB44" i="45"/>
  <c r="AB45" i="45"/>
  <c r="K35" i="45"/>
  <c r="A28" i="45" s="1"/>
  <c r="L35" i="45"/>
  <c r="B28" i="45" s="1"/>
  <c r="M35" i="45"/>
  <c r="C28" i="45" s="1"/>
  <c r="N35" i="45"/>
  <c r="D28" i="45" s="1"/>
  <c r="O35" i="45"/>
  <c r="E28" i="45" s="1"/>
  <c r="P35" i="45"/>
  <c r="F28" i="45" s="1"/>
  <c r="AB46" i="45"/>
  <c r="AB47" i="45"/>
  <c r="K36" i="45"/>
  <c r="A29" i="45" s="1"/>
  <c r="L36" i="45"/>
  <c r="B29" i="45" s="1"/>
  <c r="M36" i="45"/>
  <c r="C29" i="45" s="1"/>
  <c r="N36" i="45"/>
  <c r="D29" i="45" s="1"/>
  <c r="O36" i="45"/>
  <c r="E29" i="45" s="1"/>
  <c r="P36" i="45"/>
  <c r="F29" i="45" s="1"/>
  <c r="AB48" i="45"/>
  <c r="Q19" i="45" s="1"/>
  <c r="G17" i="45" s="1"/>
  <c r="K37" i="45"/>
  <c r="A30" i="45" s="1"/>
  <c r="L37" i="45"/>
  <c r="B30" i="45" s="1"/>
  <c r="M37" i="45"/>
  <c r="C30" i="45" s="1"/>
  <c r="N37" i="45"/>
  <c r="D30" i="45" s="1"/>
  <c r="O37" i="45"/>
  <c r="E30" i="45" s="1"/>
  <c r="P37" i="45"/>
  <c r="AB49" i="45"/>
  <c r="K38" i="45"/>
  <c r="A31" i="45" s="1"/>
  <c r="L38" i="45"/>
  <c r="B31" i="45" s="1"/>
  <c r="M38" i="45"/>
  <c r="C31" i="45" s="1"/>
  <c r="N38" i="45"/>
  <c r="D31" i="45" s="1"/>
  <c r="O38" i="45"/>
  <c r="E31" i="45" s="1"/>
  <c r="P38" i="45"/>
  <c r="F31" i="45" s="1"/>
  <c r="AB50" i="45"/>
  <c r="K39" i="45"/>
  <c r="A32" i="45" s="1"/>
  <c r="L39" i="45"/>
  <c r="B32" i="45" s="1"/>
  <c r="M39" i="45"/>
  <c r="C32" i="45" s="1"/>
  <c r="N39" i="45"/>
  <c r="D32" i="45" s="1"/>
  <c r="O39" i="45"/>
  <c r="E32" i="45" s="1"/>
  <c r="P39" i="45"/>
  <c r="AB51" i="45"/>
  <c r="K40" i="45"/>
  <c r="A33" i="45" s="1"/>
  <c r="L40" i="45"/>
  <c r="B33" i="45" s="1"/>
  <c r="M40" i="45"/>
  <c r="C33" i="45" s="1"/>
  <c r="N40" i="45"/>
  <c r="D33" i="45" s="1"/>
  <c r="O40" i="45"/>
  <c r="E33" i="45" s="1"/>
  <c r="P40" i="45"/>
  <c r="F33" i="45" s="1"/>
  <c r="AB52" i="45"/>
  <c r="K41" i="45"/>
  <c r="A34" i="45" s="1"/>
  <c r="L41" i="45"/>
  <c r="B34" i="45" s="1"/>
  <c r="M41" i="45"/>
  <c r="C34" i="45" s="1"/>
  <c r="N41" i="45"/>
  <c r="D34" i="45" s="1"/>
  <c r="O41" i="45"/>
  <c r="E34" i="45" s="1"/>
  <c r="P41" i="45"/>
  <c r="AB53" i="45"/>
  <c r="AB54" i="45"/>
  <c r="Q20" i="45" s="1"/>
  <c r="AB55" i="45"/>
  <c r="K42" i="45"/>
  <c r="A35" i="45" s="1"/>
  <c r="L42" i="45"/>
  <c r="B35" i="45" s="1"/>
  <c r="M42" i="45"/>
  <c r="C35" i="45" s="1"/>
  <c r="N42" i="45"/>
  <c r="D35" i="45" s="1"/>
  <c r="O42" i="45"/>
  <c r="E35" i="45" s="1"/>
  <c r="P42" i="45"/>
  <c r="F35" i="45" s="1"/>
  <c r="AB56" i="45"/>
  <c r="AB57" i="45"/>
  <c r="Q21" i="45" s="1"/>
  <c r="K43" i="45"/>
  <c r="A36" i="45" s="1"/>
  <c r="L43" i="45"/>
  <c r="B36" i="45" s="1"/>
  <c r="M43" i="45"/>
  <c r="C36" i="45" s="1"/>
  <c r="N43" i="45"/>
  <c r="D36" i="45" s="1"/>
  <c r="O43" i="45"/>
  <c r="E36" i="45" s="1"/>
  <c r="P43" i="45"/>
  <c r="F36" i="45" s="1"/>
  <c r="AB58" i="45"/>
  <c r="K44" i="45"/>
  <c r="A37" i="45" s="1"/>
  <c r="L44" i="45"/>
  <c r="B37" i="45" s="1"/>
  <c r="M44" i="45"/>
  <c r="C37" i="45" s="1"/>
  <c r="N44" i="45"/>
  <c r="D37" i="45" s="1"/>
  <c r="O44" i="45"/>
  <c r="E37" i="45" s="1"/>
  <c r="P44" i="45"/>
  <c r="F37" i="45" s="1"/>
  <c r="AB59" i="45"/>
  <c r="K45" i="45"/>
  <c r="A38" i="45" s="1"/>
  <c r="L45" i="45"/>
  <c r="B38" i="45" s="1"/>
  <c r="M45" i="45"/>
  <c r="C38" i="45" s="1"/>
  <c r="N45" i="45"/>
  <c r="D38" i="45" s="1"/>
  <c r="O45" i="45"/>
  <c r="E38" i="45" s="1"/>
  <c r="P45" i="45"/>
  <c r="F38" i="45" s="1"/>
  <c r="AB60" i="45"/>
  <c r="Q22" i="45" s="1"/>
  <c r="K46" i="45"/>
  <c r="A39" i="45" s="1"/>
  <c r="L46" i="45"/>
  <c r="B39" i="45" s="1"/>
  <c r="M46" i="45"/>
  <c r="C39" i="45" s="1"/>
  <c r="N46" i="45"/>
  <c r="D39" i="45" s="1"/>
  <c r="O46" i="45"/>
  <c r="E39" i="45" s="1"/>
  <c r="P46" i="45"/>
  <c r="AB61" i="45"/>
  <c r="K47" i="45"/>
  <c r="A40" i="45" s="1"/>
  <c r="L47" i="45"/>
  <c r="B40" i="45" s="1"/>
  <c r="M47" i="45"/>
  <c r="C40" i="45" s="1"/>
  <c r="N47" i="45"/>
  <c r="D40" i="45" s="1"/>
  <c r="O47" i="45"/>
  <c r="E40" i="45" s="1"/>
  <c r="P47" i="45"/>
  <c r="F40" i="45" s="1"/>
  <c r="AB62" i="45"/>
  <c r="K48" i="45"/>
  <c r="A41" i="45" s="1"/>
  <c r="L48" i="45"/>
  <c r="B41" i="45" s="1"/>
  <c r="M48" i="45"/>
  <c r="C41" i="45" s="1"/>
  <c r="N48" i="45"/>
  <c r="D41" i="45" s="1"/>
  <c r="O48" i="45"/>
  <c r="E41" i="45" s="1"/>
  <c r="P48" i="45"/>
  <c r="F41" i="45" s="1"/>
  <c r="AB63" i="45"/>
  <c r="Q23" i="45" s="1"/>
  <c r="K49" i="45"/>
  <c r="L49" i="45"/>
  <c r="M49" i="45"/>
  <c r="N49" i="45"/>
  <c r="O49" i="45"/>
  <c r="P49" i="45"/>
  <c r="AB64" i="45"/>
  <c r="K50" i="45"/>
  <c r="A42" i="45" s="1"/>
  <c r="L50" i="45"/>
  <c r="B42" i="45" s="1"/>
  <c r="M50" i="45"/>
  <c r="C42" i="45" s="1"/>
  <c r="N50" i="45"/>
  <c r="D42" i="45" s="1"/>
  <c r="O50" i="45"/>
  <c r="E42" i="45" s="1"/>
  <c r="P50" i="45"/>
  <c r="AB65" i="45"/>
  <c r="K51" i="45"/>
  <c r="A43" i="45" s="1"/>
  <c r="L51" i="45"/>
  <c r="B43" i="45" s="1"/>
  <c r="M51" i="45"/>
  <c r="C43" i="45" s="1"/>
  <c r="N51" i="45"/>
  <c r="D43" i="45" s="1"/>
  <c r="O51" i="45"/>
  <c r="E43" i="45" s="1"/>
  <c r="P51" i="45"/>
  <c r="F43" i="45" s="1"/>
  <c r="AB66" i="45"/>
  <c r="K52" i="45"/>
  <c r="A44" i="45" s="1"/>
  <c r="L52" i="45"/>
  <c r="B44" i="45" s="1"/>
  <c r="M52" i="45"/>
  <c r="C44" i="45" s="1"/>
  <c r="N52" i="45"/>
  <c r="D44" i="45" s="1"/>
  <c r="O52" i="45"/>
  <c r="E44" i="45" s="1"/>
  <c r="P52" i="45"/>
  <c r="AB67" i="45"/>
  <c r="K53" i="45"/>
  <c r="A45" i="45" s="1"/>
  <c r="L53" i="45"/>
  <c r="B45" i="45" s="1"/>
  <c r="M53" i="45"/>
  <c r="C45" i="45" s="1"/>
  <c r="N53" i="45"/>
  <c r="D45" i="45" s="1"/>
  <c r="O53" i="45"/>
  <c r="E45" i="45" s="1"/>
  <c r="P53" i="45"/>
  <c r="F45" i="45" s="1"/>
  <c r="AB68" i="45"/>
  <c r="Q24" i="45" s="1"/>
  <c r="K54" i="45"/>
  <c r="A46" i="45" s="1"/>
  <c r="L54" i="45"/>
  <c r="B46" i="45" s="1"/>
  <c r="M54" i="45"/>
  <c r="C46" i="45" s="1"/>
  <c r="N54" i="45"/>
  <c r="D46" i="45" s="1"/>
  <c r="O54" i="45"/>
  <c r="E46" i="45" s="1"/>
  <c r="P54" i="45"/>
  <c r="F46" i="45" s="1"/>
  <c r="AB69" i="45"/>
  <c r="Q25" i="45" s="1"/>
  <c r="K55" i="45"/>
  <c r="A47" i="45" s="1"/>
  <c r="L55" i="45"/>
  <c r="B47" i="45" s="1"/>
  <c r="M55" i="45"/>
  <c r="C47" i="45" s="1"/>
  <c r="N55" i="45"/>
  <c r="D47" i="45" s="1"/>
  <c r="O55" i="45"/>
  <c r="E47" i="45" s="1"/>
  <c r="P55" i="45"/>
  <c r="F47" i="45" s="1"/>
  <c r="AB70" i="45"/>
  <c r="K56" i="45"/>
  <c r="A48" i="45" s="1"/>
  <c r="L56" i="45"/>
  <c r="B48" i="45" s="1"/>
  <c r="M56" i="45"/>
  <c r="C48" i="45" s="1"/>
  <c r="N56" i="45"/>
  <c r="D48" i="45" s="1"/>
  <c r="O56" i="45"/>
  <c r="E48" i="45" s="1"/>
  <c r="P56" i="45"/>
  <c r="AB71" i="45"/>
  <c r="Q26" i="45" s="1"/>
  <c r="K57" i="45"/>
  <c r="A49" i="45" s="1"/>
  <c r="L57" i="45"/>
  <c r="B49" i="45" s="1"/>
  <c r="M57" i="45"/>
  <c r="C49" i="45" s="1"/>
  <c r="N57" i="45"/>
  <c r="D49" i="45" s="1"/>
  <c r="O57" i="45"/>
  <c r="E49" i="45" s="1"/>
  <c r="P57" i="45"/>
  <c r="F49" i="45" s="1"/>
  <c r="AB72" i="45"/>
  <c r="AB73" i="45"/>
  <c r="AB74" i="45"/>
  <c r="AB75" i="45"/>
  <c r="Q27" i="45" s="1"/>
  <c r="K58" i="45"/>
  <c r="L58" i="45"/>
  <c r="M58" i="45"/>
  <c r="N58" i="45"/>
  <c r="O58" i="45"/>
  <c r="P58" i="45"/>
  <c r="AB76" i="45"/>
  <c r="Q28" i="45" s="1"/>
  <c r="AB77" i="45"/>
  <c r="K59" i="45"/>
  <c r="A50" i="45" s="1"/>
  <c r="L59" i="45"/>
  <c r="B50" i="45" s="1"/>
  <c r="M59" i="45"/>
  <c r="C50" i="45" s="1"/>
  <c r="N59" i="45"/>
  <c r="D50" i="45" s="1"/>
  <c r="O59" i="45"/>
  <c r="E50" i="45" s="1"/>
  <c r="P59" i="45"/>
  <c r="AB78" i="45"/>
  <c r="AB79" i="45"/>
  <c r="K60" i="45"/>
  <c r="A51" i="45" s="1"/>
  <c r="L60" i="45"/>
  <c r="B51" i="45" s="1"/>
  <c r="M60" i="45"/>
  <c r="C51" i="45" s="1"/>
  <c r="N60" i="45"/>
  <c r="D51" i="45" s="1"/>
  <c r="O60" i="45"/>
  <c r="E51" i="45" s="1"/>
  <c r="P60" i="45"/>
  <c r="AB80" i="45"/>
  <c r="Q29" i="45" s="1"/>
  <c r="K61" i="45"/>
  <c r="A52" i="45" s="1"/>
  <c r="L61" i="45"/>
  <c r="B52" i="45" s="1"/>
  <c r="M61" i="45"/>
  <c r="C52" i="45" s="1"/>
  <c r="N61" i="45"/>
  <c r="D52" i="45" s="1"/>
  <c r="O61" i="45"/>
  <c r="E52" i="45" s="1"/>
  <c r="P61" i="45"/>
  <c r="F52" i="45" s="1"/>
  <c r="AB81" i="45"/>
  <c r="Q30" i="45" s="1"/>
  <c r="K62" i="45"/>
  <c r="L62" i="45"/>
  <c r="M62" i="45"/>
  <c r="N62" i="45"/>
  <c r="O62" i="45"/>
  <c r="P62" i="45"/>
  <c r="AB82" i="45"/>
  <c r="K63" i="45"/>
  <c r="L63" i="45"/>
  <c r="M63" i="45"/>
  <c r="N63" i="45"/>
  <c r="O63" i="45"/>
  <c r="P63" i="45"/>
  <c r="AB83" i="45"/>
  <c r="K64" i="45"/>
  <c r="A53" i="45" s="1"/>
  <c r="L64" i="45"/>
  <c r="B53" i="45" s="1"/>
  <c r="M64" i="45"/>
  <c r="C53" i="45" s="1"/>
  <c r="N64" i="45"/>
  <c r="D53" i="45" s="1"/>
  <c r="O64" i="45"/>
  <c r="E53" i="45" s="1"/>
  <c r="P64" i="45"/>
  <c r="AB84" i="45"/>
  <c r="Q31" i="45" s="1"/>
  <c r="K65" i="45"/>
  <c r="A54" i="45" s="1"/>
  <c r="L65" i="45"/>
  <c r="B54" i="45" s="1"/>
  <c r="M65" i="45"/>
  <c r="C54" i="45" s="1"/>
  <c r="N65" i="45"/>
  <c r="D54" i="45" s="1"/>
  <c r="O65" i="45"/>
  <c r="E54" i="45" s="1"/>
  <c r="P65" i="45"/>
  <c r="F54" i="45" s="1"/>
  <c r="AB85" i="45"/>
  <c r="K66" i="45"/>
  <c r="A55" i="45" s="1"/>
  <c r="L66" i="45"/>
  <c r="B55" i="45" s="1"/>
  <c r="M66" i="45"/>
  <c r="C55" i="45" s="1"/>
  <c r="N66" i="45"/>
  <c r="D55" i="45" s="1"/>
  <c r="O66" i="45"/>
  <c r="E55" i="45" s="1"/>
  <c r="P66" i="45"/>
  <c r="AB86" i="45"/>
  <c r="K67" i="45"/>
  <c r="L67" i="45"/>
  <c r="M67" i="45"/>
  <c r="N67" i="45"/>
  <c r="O67" i="45"/>
  <c r="P67" i="45"/>
  <c r="AB87" i="45"/>
  <c r="K68" i="45"/>
  <c r="L68" i="45"/>
  <c r="M68" i="45"/>
  <c r="N68" i="45"/>
  <c r="O68" i="45"/>
  <c r="P68" i="45"/>
  <c r="AB88" i="45"/>
  <c r="K69" i="45"/>
  <c r="A56" i="45" s="1"/>
  <c r="L69" i="45"/>
  <c r="B56" i="45" s="1"/>
  <c r="M69" i="45"/>
  <c r="C56" i="45" s="1"/>
  <c r="N69" i="45"/>
  <c r="D56" i="45" s="1"/>
  <c r="O69" i="45"/>
  <c r="E56" i="45" s="1"/>
  <c r="P69" i="45"/>
  <c r="F56" i="45" s="1"/>
  <c r="AB89" i="45"/>
  <c r="Q32" i="45" s="1"/>
  <c r="K70" i="45"/>
  <c r="A57" i="45" s="1"/>
  <c r="L70" i="45"/>
  <c r="B57" i="45" s="1"/>
  <c r="M70" i="45"/>
  <c r="C57" i="45" s="1"/>
  <c r="N70" i="45"/>
  <c r="D57" i="45" s="1"/>
  <c r="O70" i="45"/>
  <c r="E57" i="45" s="1"/>
  <c r="P70" i="45"/>
  <c r="AB90" i="45"/>
  <c r="Q33" i="45" s="1"/>
  <c r="K71" i="45"/>
  <c r="A58" i="45" s="1"/>
  <c r="L71" i="45"/>
  <c r="B58" i="45" s="1"/>
  <c r="M71" i="45"/>
  <c r="C58" i="45" s="1"/>
  <c r="N71" i="45"/>
  <c r="D58" i="45" s="1"/>
  <c r="O71" i="45"/>
  <c r="E58" i="45" s="1"/>
  <c r="P71" i="45"/>
  <c r="AB91" i="45"/>
  <c r="Q34" i="45" s="1"/>
  <c r="K72" i="45"/>
  <c r="L72" i="45"/>
  <c r="M72" i="45"/>
  <c r="N72" i="45"/>
  <c r="O72" i="45"/>
  <c r="P72" i="45"/>
  <c r="AB92" i="45"/>
  <c r="K73" i="45"/>
  <c r="A59" i="45" s="1"/>
  <c r="L73" i="45"/>
  <c r="B59" i="45" s="1"/>
  <c r="M73" i="45"/>
  <c r="C59" i="45" s="1"/>
  <c r="N73" i="45"/>
  <c r="D59" i="45" s="1"/>
  <c r="O73" i="45"/>
  <c r="E59" i="45" s="1"/>
  <c r="P73" i="45"/>
  <c r="F59" i="45" s="1"/>
  <c r="AB93" i="45"/>
  <c r="Q35" i="45" s="1"/>
  <c r="K74" i="45"/>
  <c r="L74" i="45"/>
  <c r="M74" i="45"/>
  <c r="N74" i="45"/>
  <c r="O74" i="45"/>
  <c r="P74" i="45"/>
  <c r="AB94" i="45"/>
  <c r="K75" i="45"/>
  <c r="L75" i="45"/>
  <c r="M75" i="45"/>
  <c r="N75" i="45"/>
  <c r="O75" i="45"/>
  <c r="P75" i="45"/>
  <c r="AB95" i="45"/>
  <c r="K76" i="45"/>
  <c r="L76" i="45"/>
  <c r="M76" i="45"/>
  <c r="N76" i="45"/>
  <c r="O76" i="45"/>
  <c r="P76" i="45"/>
  <c r="AB96" i="45"/>
  <c r="K77" i="45"/>
  <c r="L77" i="45"/>
  <c r="M77" i="45"/>
  <c r="N77" i="45"/>
  <c r="O77" i="45"/>
  <c r="P77" i="45"/>
  <c r="AB97" i="45"/>
  <c r="Q36" i="45" s="1"/>
  <c r="K78" i="45"/>
  <c r="L78" i="45"/>
  <c r="M78" i="45"/>
  <c r="N78" i="45"/>
  <c r="O78" i="45"/>
  <c r="P78" i="45"/>
  <c r="AB98" i="45"/>
  <c r="Q37" i="45" s="1"/>
  <c r="K79" i="45"/>
  <c r="A60" i="45" s="1"/>
  <c r="L79" i="45"/>
  <c r="B60" i="45" s="1"/>
  <c r="M79" i="45"/>
  <c r="C60" i="45" s="1"/>
  <c r="N79" i="45"/>
  <c r="D60" i="45" s="1"/>
  <c r="O79" i="45"/>
  <c r="E60" i="45" s="1"/>
  <c r="P79" i="45"/>
  <c r="AB99" i="45"/>
  <c r="Q38" i="45" s="1"/>
  <c r="K80" i="45"/>
  <c r="A61" i="45" s="1"/>
  <c r="L80" i="45"/>
  <c r="B61" i="45" s="1"/>
  <c r="M80" i="45"/>
  <c r="C61" i="45" s="1"/>
  <c r="N80" i="45"/>
  <c r="D61" i="45" s="1"/>
  <c r="O80" i="45"/>
  <c r="E61" i="45" s="1"/>
  <c r="P80" i="45"/>
  <c r="AB100" i="45"/>
  <c r="Q39" i="45" s="1"/>
  <c r="K81" i="45"/>
  <c r="A62" i="45" s="1"/>
  <c r="L81" i="45"/>
  <c r="B62" i="45" s="1"/>
  <c r="M81" i="45"/>
  <c r="C62" i="45" s="1"/>
  <c r="N81" i="45"/>
  <c r="D62" i="45" s="1"/>
  <c r="O81" i="45"/>
  <c r="E62" i="45" s="1"/>
  <c r="P81" i="45"/>
  <c r="F62" i="45" s="1"/>
  <c r="AB101" i="45"/>
  <c r="Q40" i="45" s="1"/>
  <c r="K82" i="45"/>
  <c r="A63" i="45" s="1"/>
  <c r="L82" i="45"/>
  <c r="B63" i="45" s="1"/>
  <c r="M82" i="45"/>
  <c r="C63" i="45" s="1"/>
  <c r="N82" i="45"/>
  <c r="D63" i="45" s="1"/>
  <c r="O82" i="45"/>
  <c r="E63" i="45" s="1"/>
  <c r="P82" i="45"/>
  <c r="AB102" i="45"/>
  <c r="Q41" i="45" s="1"/>
  <c r="K83" i="45"/>
  <c r="A64" i="45" s="1"/>
  <c r="L83" i="45"/>
  <c r="B64" i="45" s="1"/>
  <c r="M83" i="45"/>
  <c r="C64" i="45" s="1"/>
  <c r="N83" i="45"/>
  <c r="D64" i="45" s="1"/>
  <c r="O83" i="45"/>
  <c r="E64" i="45" s="1"/>
  <c r="P83" i="45"/>
  <c r="AB103" i="45"/>
  <c r="K84" i="45"/>
  <c r="L84" i="45"/>
  <c r="M84" i="45"/>
  <c r="N84" i="45"/>
  <c r="O84" i="45"/>
  <c r="P84" i="45"/>
  <c r="AB104" i="45"/>
  <c r="K85" i="45"/>
  <c r="A65" i="45" s="1"/>
  <c r="L85" i="45"/>
  <c r="B65" i="45" s="1"/>
  <c r="M85" i="45"/>
  <c r="C65" i="45" s="1"/>
  <c r="N85" i="45"/>
  <c r="D65" i="45" s="1"/>
  <c r="O85" i="45"/>
  <c r="E65" i="45" s="1"/>
  <c r="P85" i="45"/>
  <c r="F65" i="45" s="1"/>
  <c r="AB105" i="45"/>
  <c r="K86" i="45"/>
  <c r="L86" i="45"/>
  <c r="M86" i="45"/>
  <c r="N86" i="45"/>
  <c r="O86" i="45"/>
  <c r="P86" i="45"/>
  <c r="AB106" i="45"/>
  <c r="K87" i="45"/>
  <c r="A66" i="45" s="1"/>
  <c r="L87" i="45"/>
  <c r="B66" i="45" s="1"/>
  <c r="M87" i="45"/>
  <c r="C66" i="45" s="1"/>
  <c r="N87" i="45"/>
  <c r="D66" i="45" s="1"/>
  <c r="O87" i="45"/>
  <c r="E66" i="45" s="1"/>
  <c r="P87" i="45"/>
  <c r="F66" i="45" s="1"/>
  <c r="AB107" i="45"/>
  <c r="K88" i="45"/>
  <c r="A67" i="45" s="1"/>
  <c r="L88" i="45"/>
  <c r="B67" i="45" s="1"/>
  <c r="M88" i="45"/>
  <c r="C67" i="45" s="1"/>
  <c r="N88" i="45"/>
  <c r="D67" i="45" s="1"/>
  <c r="O88" i="45"/>
  <c r="E67" i="45" s="1"/>
  <c r="P88" i="45"/>
  <c r="F67" i="45" s="1"/>
  <c r="AB108" i="45"/>
  <c r="K89" i="45"/>
  <c r="A68" i="45" s="1"/>
  <c r="L89" i="45"/>
  <c r="B68" i="45" s="1"/>
  <c r="M89" i="45"/>
  <c r="C68" i="45" s="1"/>
  <c r="N89" i="45"/>
  <c r="D68" i="45" s="1"/>
  <c r="O89" i="45"/>
  <c r="E68" i="45" s="1"/>
  <c r="P89" i="45"/>
  <c r="F68" i="45" s="1"/>
  <c r="AB109" i="45"/>
  <c r="Q42" i="45" s="1"/>
  <c r="K90" i="45"/>
  <c r="A69" i="45" s="1"/>
  <c r="L90" i="45"/>
  <c r="B69" i="45" s="1"/>
  <c r="M90" i="45"/>
  <c r="C69" i="45" s="1"/>
  <c r="N90" i="45"/>
  <c r="D69" i="45" s="1"/>
  <c r="O90" i="45"/>
  <c r="E69" i="45" s="1"/>
  <c r="P90" i="45"/>
  <c r="F69" i="45" s="1"/>
  <c r="AB110" i="45"/>
  <c r="K91" i="45"/>
  <c r="A70" i="45" s="1"/>
  <c r="L91" i="45"/>
  <c r="B70" i="45" s="1"/>
  <c r="M91" i="45"/>
  <c r="C70" i="45" s="1"/>
  <c r="N91" i="45"/>
  <c r="D70" i="45" s="1"/>
  <c r="O91" i="45"/>
  <c r="E70" i="45" s="1"/>
  <c r="P91" i="45"/>
  <c r="AB111" i="45"/>
  <c r="AB112" i="45"/>
  <c r="K92" i="45"/>
  <c r="A71" i="45" s="1"/>
  <c r="L92" i="45"/>
  <c r="B71" i="45" s="1"/>
  <c r="M92" i="45"/>
  <c r="C71" i="45" s="1"/>
  <c r="N92" i="45"/>
  <c r="D71" i="45" s="1"/>
  <c r="O92" i="45"/>
  <c r="E71" i="45" s="1"/>
  <c r="P92" i="45"/>
  <c r="F71" i="45" s="1"/>
  <c r="AB113" i="45"/>
  <c r="K93" i="45"/>
  <c r="L93" i="45"/>
  <c r="M93" i="45"/>
  <c r="N93" i="45"/>
  <c r="O93" i="45"/>
  <c r="P93" i="45"/>
  <c r="AB114" i="45"/>
  <c r="Q43" i="45" s="1"/>
  <c r="K94" i="45"/>
  <c r="L94" i="45"/>
  <c r="M94" i="45"/>
  <c r="N94" i="45"/>
  <c r="O94" i="45"/>
  <c r="P94" i="45"/>
  <c r="AB115" i="45"/>
  <c r="K95" i="45"/>
  <c r="A72" i="45" s="1"/>
  <c r="L95" i="45"/>
  <c r="B72" i="45" s="1"/>
  <c r="M95" i="45"/>
  <c r="C72" i="45" s="1"/>
  <c r="N95" i="45"/>
  <c r="D72" i="45" s="1"/>
  <c r="O95" i="45"/>
  <c r="E72" i="45" s="1"/>
  <c r="P95" i="45"/>
  <c r="F72" i="45" s="1"/>
  <c r="AB116" i="45"/>
  <c r="K96" i="45"/>
  <c r="A73" i="45" s="1"/>
  <c r="L96" i="45"/>
  <c r="B73" i="45" s="1"/>
  <c r="M96" i="45"/>
  <c r="C73" i="45" s="1"/>
  <c r="N96" i="45"/>
  <c r="D73" i="45" s="1"/>
  <c r="O96" i="45"/>
  <c r="E73" i="45" s="1"/>
  <c r="P96" i="45"/>
  <c r="F73" i="45" s="1"/>
  <c r="AB117" i="45"/>
  <c r="Q44" i="45" s="1"/>
  <c r="K97" i="45"/>
  <c r="A74" i="45" s="1"/>
  <c r="L97" i="45"/>
  <c r="B74" i="45" s="1"/>
  <c r="M97" i="45"/>
  <c r="C74" i="45" s="1"/>
  <c r="N97" i="45"/>
  <c r="D74" i="45" s="1"/>
  <c r="O97" i="45"/>
  <c r="E74" i="45" s="1"/>
  <c r="P97" i="45"/>
  <c r="F74" i="45" s="1"/>
  <c r="AB118" i="45"/>
  <c r="Q45" i="45" s="1"/>
  <c r="K98" i="45"/>
  <c r="A75" i="45" s="1"/>
  <c r="L98" i="45"/>
  <c r="B75" i="45" s="1"/>
  <c r="M98" i="45"/>
  <c r="C75" i="45" s="1"/>
  <c r="N98" i="45"/>
  <c r="D75" i="45" s="1"/>
  <c r="O98" i="45"/>
  <c r="E75" i="45" s="1"/>
  <c r="P98" i="45"/>
  <c r="F75" i="45" s="1"/>
  <c r="AB119" i="45"/>
  <c r="Q46" i="45" s="1"/>
  <c r="K99" i="45"/>
  <c r="L99" i="45"/>
  <c r="M99" i="45"/>
  <c r="N99" i="45"/>
  <c r="O99" i="45"/>
  <c r="P99" i="45"/>
  <c r="AB120" i="45"/>
  <c r="K100" i="45"/>
  <c r="A76" i="45" s="1"/>
  <c r="L100" i="45"/>
  <c r="B76" i="45" s="1"/>
  <c r="M100" i="45"/>
  <c r="C76" i="45" s="1"/>
  <c r="N100" i="45"/>
  <c r="D76" i="45" s="1"/>
  <c r="O100" i="45"/>
  <c r="E76" i="45" s="1"/>
  <c r="P100" i="45"/>
  <c r="F76" i="45" s="1"/>
  <c r="AB121" i="45"/>
  <c r="Q47" i="45" s="1"/>
  <c r="K101" i="45"/>
  <c r="A77" i="45" s="1"/>
  <c r="L101" i="45"/>
  <c r="B77" i="45" s="1"/>
  <c r="M101" i="45"/>
  <c r="C77" i="45" s="1"/>
  <c r="N101" i="45"/>
  <c r="D77" i="45" s="1"/>
  <c r="O101" i="45"/>
  <c r="E77" i="45" s="1"/>
  <c r="P101" i="45"/>
  <c r="F77" i="45" s="1"/>
  <c r="AB122" i="45"/>
  <c r="Q48" i="45" s="1"/>
  <c r="K102" i="45"/>
  <c r="A78" i="45" s="1"/>
  <c r="L102" i="45"/>
  <c r="B78" i="45" s="1"/>
  <c r="M102" i="45"/>
  <c r="C78" i="45" s="1"/>
  <c r="N102" i="45"/>
  <c r="D78" i="45" s="1"/>
  <c r="O102" i="45"/>
  <c r="E78" i="45" s="1"/>
  <c r="P102" i="45"/>
  <c r="AB123" i="45"/>
  <c r="AB124" i="45"/>
  <c r="AB125" i="45"/>
  <c r="Q49" i="45" s="1"/>
  <c r="AB126" i="45"/>
  <c r="AB127" i="45"/>
  <c r="AB128" i="45"/>
  <c r="AB129" i="45"/>
  <c r="Q50" i="45" s="1"/>
  <c r="AB130" i="45"/>
  <c r="Q51" i="45" s="1"/>
  <c r="AB131" i="45"/>
  <c r="Q52" i="45" s="1"/>
  <c r="AB132" i="45"/>
  <c r="Q53" i="45" s="1"/>
  <c r="AB133" i="45"/>
  <c r="Q54" i="45" s="1"/>
  <c r="AB134" i="45"/>
  <c r="Q55" i="45" s="1"/>
  <c r="AB135" i="45"/>
  <c r="Q56" i="45" s="1"/>
  <c r="AB136" i="45"/>
  <c r="Q57" i="45" s="1"/>
  <c r="AB137" i="45"/>
  <c r="AB138" i="45"/>
  <c r="AB139" i="45"/>
  <c r="AB140" i="45"/>
  <c r="AB141" i="45"/>
  <c r="Q58" i="45" s="1"/>
  <c r="AB142" i="45"/>
  <c r="AB143" i="45"/>
  <c r="AB144" i="45"/>
  <c r="AB145" i="45"/>
  <c r="AB146" i="45"/>
  <c r="AB147" i="45"/>
  <c r="Q59" i="45" s="1"/>
  <c r="G50" i="45" s="1"/>
  <c r="AB148" i="45"/>
  <c r="AB149" i="45"/>
  <c r="AB150" i="45"/>
  <c r="Q60" i="45" s="1"/>
  <c r="G51" i="45" s="1"/>
  <c r="AB151" i="45"/>
  <c r="AB152" i="45"/>
  <c r="AB153" i="45"/>
  <c r="Q61" i="45" s="1"/>
  <c r="AB154" i="45"/>
  <c r="AB155" i="45"/>
  <c r="AB156" i="45"/>
  <c r="Q62" i="45" s="1"/>
  <c r="AB157" i="45"/>
  <c r="Q63" i="45" s="1"/>
  <c r="AB158" i="45"/>
  <c r="AB159" i="45"/>
  <c r="Q64" i="45" s="1"/>
  <c r="G53" i="45" s="1"/>
  <c r="AB160" i="45"/>
  <c r="AB161" i="45"/>
  <c r="AB162" i="45"/>
  <c r="Q65" i="45" s="1"/>
  <c r="AB163" i="45"/>
  <c r="Q66" i="45" s="1"/>
  <c r="G55" i="45" s="1"/>
  <c r="AB164" i="45"/>
  <c r="Q67" i="45" s="1"/>
  <c r="AB165" i="45"/>
  <c r="Q68" i="45" s="1"/>
  <c r="AB166" i="45"/>
  <c r="AB167" i="45"/>
  <c r="AB168" i="45"/>
  <c r="Q69" i="45" s="1"/>
  <c r="AB169" i="45"/>
  <c r="Q70" i="45" s="1"/>
  <c r="G57" i="45" s="1"/>
  <c r="AB170" i="45"/>
  <c r="AB171" i="45"/>
  <c r="AB172" i="45"/>
  <c r="Q71" i="45" s="1"/>
  <c r="AB173" i="45"/>
  <c r="AB174" i="45"/>
  <c r="Q72" i="45" s="1"/>
  <c r="AB175" i="45"/>
  <c r="AB176" i="45"/>
  <c r="AB177" i="45"/>
  <c r="AB178" i="45"/>
  <c r="AB179" i="45"/>
  <c r="AB180" i="45"/>
  <c r="AB181" i="45"/>
  <c r="Q73" i="45" s="1"/>
  <c r="AB182" i="45"/>
  <c r="AB183" i="45"/>
  <c r="AB184" i="45"/>
  <c r="Q74" i="45" s="1"/>
  <c r="AB185" i="45"/>
  <c r="AB186" i="45"/>
  <c r="Q75" i="45" s="1"/>
  <c r="AB187" i="45"/>
  <c r="Q76" i="45" s="1"/>
  <c r="AB188" i="45"/>
  <c r="AB189" i="45"/>
  <c r="Q77" i="45" s="1"/>
  <c r="AB190" i="45"/>
  <c r="Q78" i="45" s="1"/>
  <c r="AB191" i="45"/>
  <c r="Q79" i="45" s="1"/>
  <c r="AB192" i="45"/>
  <c r="Q80" i="45" s="1"/>
  <c r="G61" i="45" s="1"/>
  <c r="AB193" i="45"/>
  <c r="AB194" i="45"/>
  <c r="Q81" i="45" s="1"/>
  <c r="AB195" i="45"/>
  <c r="Q82" i="45" s="1"/>
  <c r="G63" i="45" s="1"/>
  <c r="AB196" i="45"/>
  <c r="AB197" i="45"/>
  <c r="AB198" i="45"/>
  <c r="Q83" i="45" s="1"/>
  <c r="AB199" i="45"/>
  <c r="Q84" i="45" s="1"/>
  <c r="AB200" i="45"/>
  <c r="Q85" i="45" s="1"/>
  <c r="AB201" i="45"/>
  <c r="AB202" i="45"/>
  <c r="AB203" i="45"/>
  <c r="AB204" i="45"/>
  <c r="AB205" i="45"/>
  <c r="AB206" i="45"/>
  <c r="Q86" i="45" s="1"/>
  <c r="AB207" i="45"/>
  <c r="Q87" i="45" s="1"/>
  <c r="AB208" i="45"/>
  <c r="Q88" i="45" s="1"/>
  <c r="AB209" i="45"/>
  <c r="Q89" i="45" s="1"/>
  <c r="AB210" i="45"/>
  <c r="AB211" i="45"/>
  <c r="Q90" i="45" s="1"/>
  <c r="AB212" i="45"/>
  <c r="Q91" i="45" s="1"/>
  <c r="AB213" i="45"/>
  <c r="AB214" i="45"/>
  <c r="AB215" i="45"/>
  <c r="Q92" i="45" s="1"/>
  <c r="AB216" i="45"/>
  <c r="AB217" i="45"/>
  <c r="AB218" i="45"/>
  <c r="AB219" i="45"/>
  <c r="Q93" i="45" s="1"/>
  <c r="AB220" i="45"/>
  <c r="AB221" i="45"/>
  <c r="Q94" i="45" s="1"/>
  <c r="AB222" i="45"/>
  <c r="AB223" i="45"/>
  <c r="Q95" i="45" s="1"/>
  <c r="AB224" i="45"/>
  <c r="AB225" i="45"/>
  <c r="Q96" i="45" s="1"/>
  <c r="AB226" i="45"/>
  <c r="AB227" i="45"/>
  <c r="Q97" i="45" s="1"/>
  <c r="AB228" i="45"/>
  <c r="AB229" i="45"/>
  <c r="Q98" i="45" s="1"/>
  <c r="G75" i="45" s="1"/>
  <c r="AB230" i="45"/>
  <c r="Q99" i="45" s="1"/>
  <c r="AB231" i="45"/>
  <c r="Q100" i="45" s="1"/>
  <c r="G76" i="45" s="1"/>
  <c r="AB232" i="45"/>
  <c r="AB233" i="45"/>
  <c r="AB234" i="45"/>
  <c r="AB235" i="45"/>
  <c r="AB236" i="45"/>
  <c r="Q101" i="45" s="1"/>
  <c r="AB237" i="45"/>
  <c r="AB238" i="45"/>
  <c r="Q102" i="45" s="1"/>
  <c r="S73" i="45" l="1"/>
  <c r="I59" i="45" s="1"/>
  <c r="S102" i="45"/>
  <c r="I78" i="45" s="1"/>
  <c r="S75" i="45"/>
  <c r="S25" i="45"/>
  <c r="S100" i="45"/>
  <c r="I76" i="45" s="1"/>
  <c r="S94" i="45"/>
  <c r="S91" i="45"/>
  <c r="I70" i="45" s="1"/>
  <c r="S89" i="45"/>
  <c r="I68" i="45" s="1"/>
  <c r="S67" i="45"/>
  <c r="S65" i="45"/>
  <c r="I54" i="45" s="1"/>
  <c r="S52" i="45"/>
  <c r="I44" i="45" s="1"/>
  <c r="S50" i="45"/>
  <c r="I42" i="45" s="1"/>
  <c r="S44" i="45"/>
  <c r="I37" i="45" s="1"/>
  <c r="S18" i="45"/>
  <c r="S96" i="45"/>
  <c r="I73" i="45" s="1"/>
  <c r="S83" i="45"/>
  <c r="I64" i="45" s="1"/>
  <c r="S79" i="45"/>
  <c r="I60" i="45" s="1"/>
  <c r="S77" i="45"/>
  <c r="S71" i="45"/>
  <c r="I58" i="45" s="1"/>
  <c r="S69" i="45"/>
  <c r="I56" i="45" s="1"/>
  <c r="S63" i="45"/>
  <c r="S61" i="45"/>
  <c r="I52" i="45" s="1"/>
  <c r="S46" i="45"/>
  <c r="I39" i="45" s="1"/>
  <c r="S27" i="45"/>
  <c r="I22" i="45" s="1"/>
  <c r="S56" i="45"/>
  <c r="I48" i="45" s="1"/>
  <c r="S54" i="45"/>
  <c r="I46" i="45" s="1"/>
  <c r="S11" i="45"/>
  <c r="I11" i="45" s="1"/>
  <c r="S81" i="45"/>
  <c r="I62" i="45" s="1"/>
  <c r="S92" i="45"/>
  <c r="I71" i="45" s="1"/>
  <c r="S48" i="45"/>
  <c r="I41" i="45" s="1"/>
  <c r="S17" i="45"/>
  <c r="I16" i="45" s="1"/>
  <c r="S15" i="45"/>
  <c r="I14" i="45" s="1"/>
  <c r="S13" i="45"/>
  <c r="S85" i="45"/>
  <c r="I65" i="45" s="1"/>
  <c r="S98" i="45"/>
  <c r="I75" i="45" s="1"/>
  <c r="F78" i="45"/>
  <c r="F70" i="45"/>
  <c r="F64" i="45"/>
  <c r="F60" i="45"/>
  <c r="F58" i="45"/>
  <c r="F48" i="45"/>
  <c r="F44" i="45"/>
  <c r="F39" i="45"/>
  <c r="F16" i="45"/>
  <c r="E9" i="45"/>
  <c r="S9" i="45"/>
  <c r="I9" i="45" s="1"/>
  <c r="S87" i="45"/>
  <c r="I66" i="45" s="1"/>
  <c r="F42" i="45"/>
  <c r="E7" i="45"/>
  <c r="S7" i="45"/>
  <c r="I7" i="45" s="1"/>
  <c r="G78" i="45"/>
  <c r="R102" i="45"/>
  <c r="H78" i="45" s="1"/>
  <c r="G77" i="45"/>
  <c r="R101" i="45"/>
  <c r="H77" i="45" s="1"/>
  <c r="R99" i="45"/>
  <c r="G70" i="45"/>
  <c r="R91" i="45"/>
  <c r="H70" i="45" s="1"/>
  <c r="G67" i="45"/>
  <c r="R88" i="45"/>
  <c r="H67" i="45" s="1"/>
  <c r="G65" i="45"/>
  <c r="R85" i="45"/>
  <c r="H65" i="45" s="1"/>
  <c r="G64" i="45"/>
  <c r="R83" i="45"/>
  <c r="H64" i="45" s="1"/>
  <c r="G62" i="45"/>
  <c r="R81" i="45"/>
  <c r="H62" i="45" s="1"/>
  <c r="R75" i="45"/>
  <c r="G58" i="45"/>
  <c r="R71" i="45"/>
  <c r="H58" i="45" s="1"/>
  <c r="G56" i="45"/>
  <c r="R69" i="45"/>
  <c r="H56" i="45" s="1"/>
  <c r="R67" i="45"/>
  <c r="G54" i="45"/>
  <c r="R65" i="45"/>
  <c r="H54" i="45" s="1"/>
  <c r="G74" i="45"/>
  <c r="R97" i="45"/>
  <c r="H74" i="45" s="1"/>
  <c r="G73" i="45"/>
  <c r="R96" i="45"/>
  <c r="H73" i="45" s="1"/>
  <c r="G72" i="45"/>
  <c r="R95" i="45"/>
  <c r="H72" i="45" s="1"/>
  <c r="R94" i="45"/>
  <c r="R93" i="45"/>
  <c r="G71" i="45"/>
  <c r="R92" i="45"/>
  <c r="H71" i="45" s="1"/>
  <c r="G69" i="45"/>
  <c r="R90" i="45"/>
  <c r="H69" i="45" s="1"/>
  <c r="G68" i="45"/>
  <c r="R89" i="45"/>
  <c r="H68" i="45" s="1"/>
  <c r="G66" i="45"/>
  <c r="R87" i="45"/>
  <c r="H66" i="45" s="1"/>
  <c r="G60" i="45"/>
  <c r="R79" i="45"/>
  <c r="H60" i="45" s="1"/>
  <c r="R77" i="45"/>
  <c r="G59" i="45"/>
  <c r="R73" i="45"/>
  <c r="H59" i="45" s="1"/>
  <c r="R63" i="45"/>
  <c r="G52" i="45"/>
  <c r="R61" i="45"/>
  <c r="H52" i="45" s="1"/>
  <c r="G49" i="45"/>
  <c r="R57" i="45"/>
  <c r="H49" i="45" s="1"/>
  <c r="G45" i="45"/>
  <c r="R53" i="45"/>
  <c r="H45" i="45" s="1"/>
  <c r="G48" i="45"/>
  <c r="R56" i="45"/>
  <c r="H48" i="45" s="1"/>
  <c r="G46" i="45"/>
  <c r="R54" i="45"/>
  <c r="H46" i="45" s="1"/>
  <c r="G44" i="45"/>
  <c r="R52" i="45"/>
  <c r="H44" i="45" s="1"/>
  <c r="G42" i="45"/>
  <c r="R50" i="45"/>
  <c r="H42" i="45" s="1"/>
  <c r="R49" i="45"/>
  <c r="S101" i="45"/>
  <c r="I77" i="45" s="1"/>
  <c r="G40" i="45"/>
  <c r="R47" i="45"/>
  <c r="H40" i="45" s="1"/>
  <c r="R100" i="45"/>
  <c r="H76" i="45" s="1"/>
  <c r="S99" i="45"/>
  <c r="G39" i="45"/>
  <c r="R46" i="45"/>
  <c r="H39" i="45" s="1"/>
  <c r="R98" i="45"/>
  <c r="H75" i="45" s="1"/>
  <c r="S97" i="45"/>
  <c r="I74" i="45" s="1"/>
  <c r="G37" i="45"/>
  <c r="R44" i="45"/>
  <c r="H37" i="45" s="1"/>
  <c r="S95" i="45"/>
  <c r="I72" i="45" s="1"/>
  <c r="S93" i="45"/>
  <c r="S90" i="45"/>
  <c r="I69" i="45" s="1"/>
  <c r="G35" i="45"/>
  <c r="R42" i="45"/>
  <c r="H35" i="45" s="1"/>
  <c r="S88" i="45"/>
  <c r="I67" i="45" s="1"/>
  <c r="R86" i="45"/>
  <c r="R84" i="45"/>
  <c r="R82" i="45"/>
  <c r="H63" i="45" s="1"/>
  <c r="G33" i="45"/>
  <c r="R40" i="45"/>
  <c r="H33" i="45" s="1"/>
  <c r="R80" i="45"/>
  <c r="H61" i="45" s="1"/>
  <c r="G31" i="45"/>
  <c r="R38" i="45"/>
  <c r="H31" i="45" s="1"/>
  <c r="R78" i="45"/>
  <c r="G29" i="45"/>
  <c r="R36" i="45"/>
  <c r="H29" i="45" s="1"/>
  <c r="R76" i="45"/>
  <c r="R74" i="45"/>
  <c r="G28" i="45"/>
  <c r="R35" i="45"/>
  <c r="H28" i="45" s="1"/>
  <c r="R72" i="45"/>
  <c r="G27" i="45"/>
  <c r="R34" i="45"/>
  <c r="H27" i="45" s="1"/>
  <c r="R70" i="45"/>
  <c r="H57" i="45" s="1"/>
  <c r="G25" i="45"/>
  <c r="R32" i="45"/>
  <c r="H25" i="45" s="1"/>
  <c r="R68" i="45"/>
  <c r="R66" i="45"/>
  <c r="H55" i="45" s="1"/>
  <c r="R64" i="45"/>
  <c r="H53" i="45" s="1"/>
  <c r="R62" i="45"/>
  <c r="R60" i="45"/>
  <c r="H51" i="45" s="1"/>
  <c r="R59" i="45"/>
  <c r="H50" i="45" s="1"/>
  <c r="R58" i="45"/>
  <c r="G47" i="45"/>
  <c r="R55" i="45"/>
  <c r="H47" i="45" s="1"/>
  <c r="G43" i="45"/>
  <c r="R51" i="45"/>
  <c r="H43" i="45" s="1"/>
  <c r="G41" i="45"/>
  <c r="R48" i="45"/>
  <c r="H41" i="45" s="1"/>
  <c r="G38" i="45"/>
  <c r="R45" i="45"/>
  <c r="H38" i="45" s="1"/>
  <c r="G36" i="45"/>
  <c r="R43" i="45"/>
  <c r="H36" i="45" s="1"/>
  <c r="S86" i="45"/>
  <c r="S84" i="45"/>
  <c r="G34" i="45"/>
  <c r="R41" i="45"/>
  <c r="H34" i="45" s="1"/>
  <c r="F63" i="45"/>
  <c r="S82" i="45"/>
  <c r="I63" i="45" s="1"/>
  <c r="G32" i="45"/>
  <c r="R39" i="45"/>
  <c r="H32" i="45" s="1"/>
  <c r="F61" i="45"/>
  <c r="S80" i="45"/>
  <c r="I61" i="45" s="1"/>
  <c r="G30" i="45"/>
  <c r="R37" i="45"/>
  <c r="H30" i="45" s="1"/>
  <c r="S78" i="45"/>
  <c r="S76" i="45"/>
  <c r="S74" i="45"/>
  <c r="S72" i="45"/>
  <c r="G26" i="45"/>
  <c r="R33" i="45"/>
  <c r="H26" i="45" s="1"/>
  <c r="F57" i="45"/>
  <c r="S70" i="45"/>
  <c r="I57" i="45" s="1"/>
  <c r="S68" i="45"/>
  <c r="F55" i="45"/>
  <c r="S66" i="45"/>
  <c r="I55" i="45" s="1"/>
  <c r="G24" i="45"/>
  <c r="R31" i="45"/>
  <c r="H24" i="45" s="1"/>
  <c r="F53" i="45"/>
  <c r="S64" i="45"/>
  <c r="I53" i="45" s="1"/>
  <c r="S62" i="45"/>
  <c r="R29" i="45"/>
  <c r="F51" i="45"/>
  <c r="S60" i="45"/>
  <c r="I51" i="45" s="1"/>
  <c r="F50" i="45"/>
  <c r="S59" i="45"/>
  <c r="I50" i="45" s="1"/>
  <c r="G23" i="45"/>
  <c r="R28" i="45"/>
  <c r="H23" i="45" s="1"/>
  <c r="S58" i="45"/>
  <c r="G22" i="45"/>
  <c r="R27" i="45"/>
  <c r="H22" i="45" s="1"/>
  <c r="S57" i="45"/>
  <c r="I49" i="45" s="1"/>
  <c r="R26" i="45"/>
  <c r="S55" i="45"/>
  <c r="I47" i="45" s="1"/>
  <c r="R25" i="45"/>
  <c r="S53" i="45"/>
  <c r="I45" i="45" s="1"/>
  <c r="S51" i="45"/>
  <c r="I43" i="45" s="1"/>
  <c r="S49" i="45"/>
  <c r="R23" i="45"/>
  <c r="S47" i="45"/>
  <c r="I40" i="45" s="1"/>
  <c r="S45" i="45"/>
  <c r="I38" i="45" s="1"/>
  <c r="S43" i="45"/>
  <c r="I36" i="45" s="1"/>
  <c r="G19" i="45"/>
  <c r="R21" i="45"/>
  <c r="H19" i="45" s="1"/>
  <c r="S42" i="45"/>
  <c r="I35" i="45" s="1"/>
  <c r="F34" i="45"/>
  <c r="S41" i="45"/>
  <c r="I34" i="45" s="1"/>
  <c r="S40" i="45"/>
  <c r="I33" i="45" s="1"/>
  <c r="F32" i="45"/>
  <c r="S39" i="45"/>
  <c r="I32" i="45" s="1"/>
  <c r="S38" i="45"/>
  <c r="I31" i="45" s="1"/>
  <c r="F30" i="45"/>
  <c r="S37" i="45"/>
  <c r="I30" i="45" s="1"/>
  <c r="S36" i="45"/>
  <c r="I29" i="45" s="1"/>
  <c r="S35" i="45"/>
  <c r="I28" i="45" s="1"/>
  <c r="S34" i="45"/>
  <c r="I27" i="45" s="1"/>
  <c r="F26" i="45"/>
  <c r="S33" i="45"/>
  <c r="I26" i="45" s="1"/>
  <c r="S32" i="45"/>
  <c r="I25" i="45" s="1"/>
  <c r="F24" i="45"/>
  <c r="S31" i="45"/>
  <c r="I24" i="45" s="1"/>
  <c r="S30" i="45"/>
  <c r="S29" i="45"/>
  <c r="F23" i="45"/>
  <c r="S28" i="45"/>
  <c r="I23" i="45" s="1"/>
  <c r="G21" i="45"/>
  <c r="R24" i="45"/>
  <c r="H21" i="45" s="1"/>
  <c r="G20" i="45"/>
  <c r="R22" i="45"/>
  <c r="H20" i="45" s="1"/>
  <c r="G18" i="45"/>
  <c r="R20" i="45"/>
  <c r="H18" i="45" s="1"/>
  <c r="R30" i="45"/>
  <c r="S26" i="45"/>
  <c r="S24" i="45"/>
  <c r="I21" i="45" s="1"/>
  <c r="S23" i="45"/>
  <c r="S22" i="45"/>
  <c r="I20" i="45" s="1"/>
  <c r="G16" i="45"/>
  <c r="R17" i="45"/>
  <c r="H16" i="45" s="1"/>
  <c r="F19" i="45"/>
  <c r="S21" i="45"/>
  <c r="I19" i="45" s="1"/>
  <c r="S20" i="45"/>
  <c r="I18" i="45" s="1"/>
  <c r="G15" i="45"/>
  <c r="R16" i="45"/>
  <c r="H15" i="45" s="1"/>
  <c r="F17" i="45"/>
  <c r="S19" i="45"/>
  <c r="I17" i="45" s="1"/>
  <c r="R13" i="45"/>
  <c r="R18" i="45"/>
  <c r="R19" i="45"/>
  <c r="H17" i="45" s="1"/>
  <c r="G14" i="45"/>
  <c r="R15" i="45"/>
  <c r="H14" i="45" s="1"/>
  <c r="G12" i="45"/>
  <c r="R12" i="45"/>
  <c r="H12" i="45" s="1"/>
  <c r="R14" i="45"/>
  <c r="H13" i="45" s="1"/>
  <c r="G10" i="45"/>
  <c r="R10" i="45"/>
  <c r="H10" i="45" s="1"/>
  <c r="G8" i="45"/>
  <c r="R8" i="45"/>
  <c r="H8" i="45" s="1"/>
  <c r="F15" i="45"/>
  <c r="S16" i="45"/>
  <c r="I15" i="45" s="1"/>
  <c r="G11" i="45"/>
  <c r="R11" i="45"/>
  <c r="H11" i="45" s="1"/>
  <c r="F13" i="45"/>
  <c r="S14" i="45"/>
  <c r="I13" i="45" s="1"/>
  <c r="S12" i="45"/>
  <c r="I12" i="45" s="1"/>
  <c r="S10" i="45"/>
  <c r="I10" i="45" s="1"/>
  <c r="R9" i="45"/>
  <c r="H9" i="45" s="1"/>
  <c r="S8" i="45"/>
  <c r="I8" i="45" s="1"/>
  <c r="R7" i="45"/>
  <c r="H7" i="45" s="1"/>
  <c r="D16" i="10"/>
  <c r="D15" i="10"/>
  <c r="I14" i="10"/>
  <c r="H14" i="10"/>
  <c r="F14" i="10"/>
  <c r="E14" i="10"/>
  <c r="D13" i="10"/>
  <c r="D12" i="10"/>
  <c r="F11" i="10"/>
  <c r="D11" i="10"/>
  <c r="C11" i="10"/>
  <c r="B10" i="10"/>
  <c r="C8" i="10"/>
  <c r="C7" i="10"/>
  <c r="B15" i="9"/>
  <c r="B14" i="9"/>
  <c r="B13" i="9"/>
  <c r="C12" i="9"/>
  <c r="C11" i="9"/>
  <c r="D9" i="9"/>
  <c r="C9" i="9"/>
  <c r="D8" i="9"/>
  <c r="C8" i="9"/>
  <c r="F7" i="9"/>
  <c r="N49" i="1"/>
  <c r="M49" i="1"/>
  <c r="L49" i="1"/>
  <c r="K49" i="1"/>
  <c r="J49" i="1"/>
  <c r="I49" i="1"/>
  <c r="H49" i="1"/>
  <c r="G49" i="1"/>
  <c r="F49" i="1"/>
  <c r="E49" i="1"/>
  <c r="D49" i="1"/>
  <c r="C49" i="1"/>
  <c r="B49" i="1"/>
  <c r="C46" i="1"/>
  <c r="D44" i="1"/>
  <c r="C44" i="1"/>
  <c r="B39" i="1"/>
  <c r="B38" i="1"/>
  <c r="B37" i="1"/>
  <c r="B36" i="1"/>
  <c r="B35" i="1"/>
  <c r="B34" i="1"/>
  <c r="B33" i="1"/>
  <c r="B32" i="1"/>
  <c r="B31" i="1"/>
  <c r="B30" i="1"/>
  <c r="B29" i="1"/>
  <c r="B28" i="1"/>
  <c r="B27" i="1"/>
  <c r="D10" i="1"/>
  <c r="C10" i="1"/>
  <c r="B10" i="1"/>
  <c r="D9" i="1"/>
  <c r="C9" i="1"/>
  <c r="B9" i="1"/>
  <c r="D8" i="1"/>
  <c r="C8" i="1"/>
  <c r="G4" i="1"/>
  <c r="D4" i="1"/>
  <c r="C4" i="1"/>
  <c r="I2" i="1"/>
  <c r="G2" i="1"/>
  <c r="I1" i="1"/>
  <c r="G1" i="1"/>
  <c r="K15" i="8"/>
  <c r="G15" i="8"/>
  <c r="M14" i="8"/>
  <c r="K14" i="8"/>
  <c r="I14" i="8"/>
  <c r="G14" i="8"/>
  <c r="E14" i="8"/>
  <c r="C14" i="8"/>
  <c r="K12" i="8"/>
  <c r="G12" i="8"/>
  <c r="M11" i="8"/>
  <c r="K11" i="8"/>
  <c r="I11" i="8"/>
  <c r="G11" i="8"/>
  <c r="E11" i="8"/>
  <c r="C11" i="8"/>
  <c r="N9" i="8"/>
  <c r="N8" i="8"/>
  <c r="N7" i="8"/>
  <c r="N6" i="8"/>
  <c r="N5" i="8"/>
  <c r="N4" i="8"/>
  <c r="N3" i="8"/>
  <c r="N2" i="8"/>
  <c r="S31" i="3"/>
  <c r="R31" i="3"/>
  <c r="Q31" i="3"/>
  <c r="P31" i="3"/>
  <c r="O31" i="3"/>
  <c r="N31" i="3"/>
  <c r="M31" i="3"/>
  <c r="L31" i="3"/>
  <c r="K31" i="3"/>
  <c r="J31" i="3"/>
  <c r="I31" i="3"/>
  <c r="H31" i="3"/>
  <c r="G31" i="3"/>
  <c r="R30" i="3"/>
  <c r="Q30" i="3"/>
  <c r="P30" i="3"/>
  <c r="O30" i="3"/>
  <c r="N30" i="3"/>
  <c r="M30" i="3"/>
  <c r="L30" i="3"/>
  <c r="K30" i="3"/>
  <c r="J30" i="3"/>
  <c r="I30" i="3"/>
  <c r="H30" i="3"/>
  <c r="G30" i="3"/>
  <c r="S29" i="3"/>
  <c r="R29" i="3"/>
  <c r="Q29" i="3"/>
  <c r="P29" i="3"/>
  <c r="O29" i="3"/>
  <c r="N29" i="3"/>
  <c r="M29" i="3"/>
  <c r="L29" i="3"/>
  <c r="K29" i="3"/>
  <c r="J29" i="3"/>
  <c r="I29" i="3"/>
  <c r="H29" i="3"/>
  <c r="G29" i="3"/>
  <c r="R28" i="3"/>
  <c r="Q28" i="3"/>
  <c r="P28" i="3"/>
  <c r="O28" i="3"/>
  <c r="N28" i="3"/>
  <c r="M28" i="3"/>
  <c r="L28" i="3"/>
  <c r="K28" i="3"/>
  <c r="J28" i="3"/>
  <c r="I28" i="3"/>
  <c r="H28" i="3"/>
  <c r="G28" i="3"/>
  <c r="S27" i="3"/>
  <c r="R27" i="3"/>
  <c r="Q27" i="3"/>
  <c r="P27" i="3"/>
  <c r="O27" i="3"/>
  <c r="N27" i="3"/>
  <c r="M27" i="3"/>
  <c r="L27" i="3"/>
  <c r="K27" i="3"/>
  <c r="J27" i="3"/>
  <c r="I27" i="3"/>
  <c r="H27" i="3"/>
  <c r="G27" i="3"/>
  <c r="R26" i="3"/>
  <c r="Q26" i="3"/>
  <c r="P26" i="3"/>
  <c r="O26" i="3"/>
  <c r="N26" i="3"/>
  <c r="M26" i="3"/>
  <c r="L26" i="3"/>
  <c r="K26" i="3"/>
  <c r="J26" i="3"/>
  <c r="I26" i="3"/>
  <c r="H26" i="3"/>
  <c r="G26" i="3"/>
  <c r="S25" i="3"/>
  <c r="R25" i="3"/>
  <c r="Q25" i="3"/>
  <c r="P25" i="3"/>
  <c r="O25" i="3"/>
  <c r="N25" i="3"/>
  <c r="M25" i="3"/>
  <c r="L25" i="3"/>
  <c r="K25" i="3"/>
  <c r="J25" i="3"/>
  <c r="I25" i="3"/>
  <c r="H25" i="3"/>
  <c r="G25" i="3"/>
  <c r="R24" i="3"/>
  <c r="Q24" i="3"/>
  <c r="P24" i="3"/>
  <c r="O24" i="3"/>
  <c r="N24" i="3"/>
  <c r="M24" i="3"/>
  <c r="L24" i="3"/>
  <c r="K24" i="3"/>
  <c r="J24" i="3"/>
  <c r="I24" i="3"/>
  <c r="H24" i="3"/>
  <c r="G24" i="3"/>
  <c r="S23" i="3"/>
  <c r="R23" i="3"/>
  <c r="Q23" i="3"/>
  <c r="P23" i="3"/>
  <c r="O23" i="3"/>
  <c r="N23" i="3"/>
  <c r="M23" i="3"/>
  <c r="L23" i="3"/>
  <c r="K23" i="3"/>
  <c r="J23" i="3"/>
  <c r="I23" i="3"/>
  <c r="H23" i="3"/>
  <c r="G23" i="3"/>
  <c r="R22" i="3"/>
  <c r="Q22" i="3"/>
  <c r="P22" i="3"/>
  <c r="O22" i="3"/>
  <c r="N22" i="3"/>
  <c r="M22" i="3"/>
  <c r="L22" i="3"/>
  <c r="K22" i="3"/>
  <c r="J22" i="3"/>
  <c r="I22" i="3"/>
  <c r="H22" i="3"/>
  <c r="G22" i="3"/>
  <c r="S21" i="3"/>
  <c r="R21" i="3"/>
  <c r="Q21" i="3"/>
  <c r="P21" i="3"/>
  <c r="O21" i="3"/>
  <c r="N21" i="3"/>
  <c r="M21" i="3"/>
  <c r="L21" i="3"/>
  <c r="K21" i="3"/>
  <c r="J21" i="3"/>
  <c r="I21" i="3"/>
  <c r="H21" i="3"/>
  <c r="G21" i="3"/>
  <c r="R20" i="3"/>
  <c r="Q20" i="3"/>
  <c r="P20" i="3"/>
  <c r="O20" i="3"/>
  <c r="N20" i="3"/>
  <c r="M20" i="3"/>
  <c r="L20" i="3"/>
  <c r="K20" i="3"/>
  <c r="J20" i="3"/>
  <c r="I20" i="3"/>
  <c r="H20" i="3"/>
  <c r="G20" i="3"/>
  <c r="S19" i="3"/>
  <c r="R19" i="3"/>
  <c r="Q19" i="3"/>
  <c r="P19" i="3"/>
  <c r="O19" i="3"/>
  <c r="N19" i="3"/>
  <c r="M19" i="3"/>
  <c r="L19" i="3"/>
  <c r="K19" i="3"/>
  <c r="J19" i="3"/>
  <c r="I19" i="3"/>
  <c r="H19" i="3"/>
  <c r="G19" i="3"/>
  <c r="S17" i="3"/>
  <c r="S16" i="3"/>
  <c r="R16" i="3"/>
  <c r="Q16" i="3"/>
  <c r="P16" i="3"/>
  <c r="O16" i="3"/>
  <c r="N16" i="3"/>
  <c r="M16" i="3"/>
  <c r="L16" i="3"/>
  <c r="K16" i="3"/>
  <c r="J16" i="3"/>
  <c r="I16" i="3"/>
  <c r="H16" i="3"/>
  <c r="G16" i="3"/>
  <c r="R15" i="3"/>
  <c r="Q15" i="3"/>
  <c r="P15" i="3"/>
  <c r="O15" i="3"/>
  <c r="N15" i="3"/>
  <c r="M15" i="3"/>
  <c r="L15" i="3"/>
  <c r="K15" i="3"/>
  <c r="J15" i="3"/>
  <c r="I15" i="3"/>
  <c r="H15" i="3"/>
  <c r="G15" i="3"/>
  <c r="S14" i="3"/>
  <c r="R14" i="3"/>
  <c r="Q14" i="3"/>
  <c r="P14" i="3"/>
  <c r="O14" i="3"/>
  <c r="N14" i="3"/>
  <c r="M14" i="3"/>
  <c r="L14" i="3"/>
  <c r="K14" i="3"/>
  <c r="J14" i="3"/>
  <c r="I14" i="3"/>
  <c r="H14" i="3"/>
  <c r="G14" i="3"/>
  <c r="R13" i="3"/>
  <c r="Q13" i="3"/>
  <c r="P13" i="3"/>
  <c r="O13" i="3"/>
  <c r="N13" i="3"/>
  <c r="M13" i="3"/>
  <c r="L13" i="3"/>
  <c r="K13" i="3"/>
  <c r="J13" i="3"/>
  <c r="I13" i="3"/>
  <c r="H13" i="3"/>
  <c r="G13" i="3"/>
  <c r="D13" i="3"/>
  <c r="B13" i="3"/>
  <c r="BY12" i="3"/>
  <c r="BM12" i="3"/>
  <c r="BA12" i="3"/>
  <c r="S12" i="3"/>
  <c r="R12" i="3"/>
  <c r="Q12" i="3"/>
  <c r="P12" i="3"/>
  <c r="O12" i="3"/>
  <c r="N12" i="3"/>
  <c r="M12" i="3"/>
  <c r="L12" i="3"/>
  <c r="K12" i="3"/>
  <c r="J12" i="3"/>
  <c r="I12" i="3"/>
  <c r="H12" i="3"/>
  <c r="G12" i="3"/>
  <c r="B12" i="3"/>
  <c r="R11" i="3"/>
  <c r="Q11" i="3"/>
  <c r="P11" i="3"/>
  <c r="O11" i="3"/>
  <c r="N11" i="3"/>
  <c r="M11" i="3"/>
  <c r="L11" i="3"/>
  <c r="K11" i="3"/>
  <c r="J11" i="3"/>
  <c r="I11" i="3"/>
  <c r="H11" i="3"/>
  <c r="G11" i="3"/>
  <c r="S10" i="3"/>
  <c r="R10" i="3"/>
  <c r="Q10" i="3"/>
  <c r="P10" i="3"/>
  <c r="O10" i="3"/>
  <c r="N10" i="3"/>
  <c r="M10" i="3"/>
  <c r="L10" i="3"/>
  <c r="K10" i="3"/>
  <c r="J10" i="3"/>
  <c r="I10" i="3"/>
  <c r="H10" i="3"/>
  <c r="G10" i="3"/>
  <c r="R9" i="3"/>
  <c r="Q9" i="3"/>
  <c r="P9" i="3"/>
  <c r="O9" i="3"/>
  <c r="N9" i="3"/>
  <c r="M9" i="3"/>
  <c r="L9" i="3"/>
  <c r="K9" i="3"/>
  <c r="J9" i="3"/>
  <c r="I9" i="3"/>
  <c r="H9" i="3"/>
  <c r="G9" i="3"/>
  <c r="E9" i="3"/>
  <c r="D9" i="3"/>
  <c r="B9" i="3"/>
  <c r="S8" i="3"/>
  <c r="R8" i="3"/>
  <c r="Q8" i="3"/>
  <c r="P8" i="3"/>
  <c r="O8" i="3"/>
  <c r="N8" i="3"/>
  <c r="M8" i="3"/>
  <c r="L8" i="3"/>
  <c r="K8" i="3"/>
  <c r="J8" i="3"/>
  <c r="I8" i="3"/>
  <c r="H8" i="3"/>
  <c r="G8" i="3"/>
  <c r="R7" i="3"/>
  <c r="Q7" i="3"/>
  <c r="P7" i="3"/>
  <c r="O7" i="3"/>
  <c r="N7" i="3"/>
  <c r="M7" i="3"/>
  <c r="L7" i="3"/>
  <c r="K7" i="3"/>
  <c r="J7" i="3"/>
  <c r="I7" i="3"/>
  <c r="H7" i="3"/>
  <c r="G7" i="3"/>
  <c r="C7" i="3"/>
  <c r="S6" i="3"/>
  <c r="R6" i="3"/>
  <c r="Q6" i="3"/>
  <c r="P6" i="3"/>
  <c r="O6" i="3"/>
  <c r="N6" i="3"/>
  <c r="M6" i="3"/>
  <c r="L6" i="3"/>
  <c r="K6" i="3"/>
  <c r="J6" i="3"/>
  <c r="I6" i="3"/>
  <c r="H6" i="3"/>
  <c r="G6" i="3"/>
  <c r="R5" i="3"/>
  <c r="Q5" i="3"/>
  <c r="P5" i="3"/>
  <c r="O5" i="3"/>
  <c r="N5" i="3"/>
  <c r="M5" i="3"/>
  <c r="L5" i="3"/>
  <c r="K5" i="3"/>
  <c r="J5" i="3"/>
  <c r="I5" i="3"/>
  <c r="H5" i="3"/>
  <c r="G5" i="3"/>
  <c r="E5" i="3"/>
  <c r="D5" i="3"/>
  <c r="B5" i="3"/>
  <c r="S4" i="3"/>
  <c r="R4" i="3"/>
  <c r="Q4" i="3"/>
  <c r="P4" i="3"/>
  <c r="O4" i="3"/>
  <c r="N4" i="3"/>
  <c r="M4" i="3"/>
  <c r="L4" i="3"/>
  <c r="K4" i="3"/>
  <c r="J4" i="3"/>
  <c r="I4" i="3"/>
  <c r="H4" i="3"/>
  <c r="G4" i="3"/>
  <c r="C3" i="3"/>
  <c r="G2" i="3"/>
  <c r="G1" i="3"/>
  <c r="N29" i="34"/>
  <c r="M29" i="34"/>
  <c r="L29" i="34"/>
  <c r="K29" i="34"/>
  <c r="J29" i="34"/>
  <c r="I29" i="34"/>
  <c r="H29" i="34"/>
  <c r="G29" i="34"/>
  <c r="F29" i="34"/>
  <c r="E29" i="34"/>
  <c r="D29" i="34"/>
  <c r="C29" i="34"/>
  <c r="B29" i="34"/>
  <c r="M28" i="34"/>
  <c r="L28" i="34"/>
  <c r="K28" i="34"/>
  <c r="J28" i="34"/>
  <c r="I28" i="34"/>
  <c r="H28" i="34"/>
  <c r="G28" i="34"/>
  <c r="F28" i="34"/>
  <c r="E28" i="34"/>
  <c r="D28" i="34"/>
  <c r="C28" i="34"/>
  <c r="B28" i="34"/>
  <c r="N27" i="34"/>
  <c r="M27" i="34"/>
  <c r="L27" i="34"/>
  <c r="K27" i="34"/>
  <c r="J27" i="34"/>
  <c r="I27" i="34"/>
  <c r="H27" i="34"/>
  <c r="G27" i="34"/>
  <c r="F27" i="34"/>
  <c r="E27" i="34"/>
  <c r="D27" i="34"/>
  <c r="C27" i="34"/>
  <c r="B27" i="34"/>
  <c r="M26" i="34"/>
  <c r="L26" i="34"/>
  <c r="K26" i="34"/>
  <c r="J26" i="34"/>
  <c r="I26" i="34"/>
  <c r="H26" i="34"/>
  <c r="G26" i="34"/>
  <c r="F26" i="34"/>
  <c r="E26" i="34"/>
  <c r="D26" i="34"/>
  <c r="C26" i="34"/>
  <c r="B26" i="34"/>
  <c r="N25" i="34"/>
  <c r="M25" i="34"/>
  <c r="L25" i="34"/>
  <c r="K25" i="34"/>
  <c r="J25" i="34"/>
  <c r="I25" i="34"/>
  <c r="H25" i="34"/>
  <c r="G25" i="34"/>
  <c r="F25" i="34"/>
  <c r="E25" i="34"/>
  <c r="D25" i="34"/>
  <c r="C25" i="34"/>
  <c r="B25" i="34"/>
  <c r="M24" i="34"/>
  <c r="L24" i="34"/>
  <c r="K24" i="34"/>
  <c r="J24" i="34"/>
  <c r="I24" i="34"/>
  <c r="H24" i="34"/>
  <c r="G24" i="34"/>
  <c r="F24" i="34"/>
  <c r="E24" i="34"/>
  <c r="D24" i="34"/>
  <c r="C24" i="34"/>
  <c r="B24" i="34"/>
  <c r="N23" i="34"/>
  <c r="M23" i="34"/>
  <c r="L23" i="34"/>
  <c r="K23" i="34"/>
  <c r="J23" i="34"/>
  <c r="I23" i="34"/>
  <c r="H23" i="34"/>
  <c r="G23" i="34"/>
  <c r="F23" i="34"/>
  <c r="E23" i="34"/>
  <c r="D23" i="34"/>
  <c r="C23" i="34"/>
  <c r="B23" i="34"/>
  <c r="M22" i="34"/>
  <c r="L22" i="34"/>
  <c r="K22" i="34"/>
  <c r="J22" i="34"/>
  <c r="I22" i="34"/>
  <c r="H22" i="34"/>
  <c r="G22" i="34"/>
  <c r="F22" i="34"/>
  <c r="E22" i="34"/>
  <c r="D22" i="34"/>
  <c r="C22" i="34"/>
  <c r="B22" i="34"/>
  <c r="N21" i="34"/>
  <c r="M21" i="34"/>
  <c r="L21" i="34"/>
  <c r="K21" i="34"/>
  <c r="J21" i="34"/>
  <c r="I21" i="34"/>
  <c r="H21" i="34"/>
  <c r="G21" i="34"/>
  <c r="F21" i="34"/>
  <c r="E21" i="34"/>
  <c r="D21" i="34"/>
  <c r="C21" i="34"/>
  <c r="B21" i="34"/>
  <c r="M20" i="34"/>
  <c r="L20" i="34"/>
  <c r="K20" i="34"/>
  <c r="J20" i="34"/>
  <c r="I20" i="34"/>
  <c r="H20" i="34"/>
  <c r="G20" i="34"/>
  <c r="F20" i="34"/>
  <c r="E20" i="34"/>
  <c r="D20" i="34"/>
  <c r="C20" i="34"/>
  <c r="B20" i="34"/>
  <c r="N19" i="34"/>
  <c r="M19" i="34"/>
  <c r="L19" i="34"/>
  <c r="K19" i="34"/>
  <c r="J19" i="34"/>
  <c r="I19" i="34"/>
  <c r="H19" i="34"/>
  <c r="G19" i="34"/>
  <c r="F19" i="34"/>
  <c r="E19" i="34"/>
  <c r="D19" i="34"/>
  <c r="C19" i="34"/>
  <c r="B19" i="34"/>
  <c r="M18" i="34"/>
  <c r="L18" i="34"/>
  <c r="K18" i="34"/>
  <c r="J18" i="34"/>
  <c r="I18" i="34"/>
  <c r="H18" i="34"/>
  <c r="G18" i="34"/>
  <c r="F18" i="34"/>
  <c r="E18" i="34"/>
  <c r="D18" i="34"/>
  <c r="C18" i="34"/>
  <c r="B18" i="34"/>
  <c r="N17" i="34"/>
  <c r="M17" i="34"/>
  <c r="L17" i="34"/>
  <c r="K17" i="34"/>
  <c r="J17" i="34"/>
  <c r="I17" i="34"/>
  <c r="H17" i="34"/>
  <c r="G17" i="34"/>
  <c r="F17" i="34"/>
  <c r="E17" i="34"/>
  <c r="D17" i="34"/>
  <c r="C17" i="34"/>
  <c r="B17" i="34"/>
  <c r="N15" i="34"/>
  <c r="BT10" i="34"/>
  <c r="BH10" i="34"/>
  <c r="AV10" i="34"/>
  <c r="H134" i="2"/>
  <c r="G134" i="2"/>
  <c r="H133" i="2"/>
  <c r="G133" i="2"/>
  <c r="H132" i="2"/>
  <c r="G132" i="2"/>
  <c r="H131" i="2"/>
  <c r="G131" i="2"/>
  <c r="H130" i="2"/>
  <c r="G130" i="2"/>
  <c r="H129" i="2"/>
  <c r="G129" i="2"/>
  <c r="H128" i="2"/>
  <c r="G128" i="2"/>
  <c r="H127" i="2"/>
  <c r="G127" i="2"/>
  <c r="H126" i="2"/>
  <c r="G126" i="2"/>
  <c r="H125" i="2"/>
  <c r="G125" i="2"/>
  <c r="H124" i="2"/>
  <c r="G124" i="2"/>
  <c r="H123" i="2"/>
  <c r="G123" i="2"/>
  <c r="H122" i="2"/>
  <c r="G122" i="2"/>
  <c r="H121" i="2"/>
  <c r="G121" i="2"/>
  <c r="H120" i="2"/>
  <c r="G120" i="2"/>
  <c r="H119" i="2"/>
  <c r="G119" i="2"/>
  <c r="H118" i="2"/>
  <c r="G118" i="2"/>
  <c r="H117" i="2"/>
  <c r="G117" i="2"/>
  <c r="H116" i="2"/>
  <c r="G116" i="2"/>
  <c r="H115" i="2"/>
  <c r="G115" i="2"/>
  <c r="H114" i="2"/>
  <c r="G114" i="2"/>
  <c r="H113" i="2"/>
  <c r="G113" i="2"/>
  <c r="H112" i="2"/>
  <c r="G112" i="2"/>
  <c r="H111" i="2"/>
  <c r="G111" i="2"/>
  <c r="H110" i="2"/>
  <c r="G110" i="2"/>
  <c r="H109" i="2"/>
  <c r="G109" i="2"/>
  <c r="H108" i="2"/>
  <c r="G108" i="2"/>
  <c r="J107" i="2"/>
  <c r="I107" i="2"/>
  <c r="H107" i="2"/>
  <c r="G107" i="2"/>
  <c r="H106" i="2"/>
  <c r="G106" i="2"/>
  <c r="H105" i="2"/>
  <c r="G105" i="2"/>
  <c r="H104" i="2"/>
  <c r="G104" i="2"/>
  <c r="H103" i="2"/>
  <c r="G103" i="2"/>
  <c r="H102" i="2"/>
  <c r="G102" i="2"/>
  <c r="H101" i="2"/>
  <c r="G101" i="2"/>
  <c r="H100" i="2"/>
  <c r="G100" i="2"/>
  <c r="H99" i="2"/>
  <c r="G99" i="2"/>
  <c r="H98" i="2"/>
  <c r="G98" i="2"/>
  <c r="H97" i="2"/>
  <c r="G97" i="2"/>
  <c r="H96" i="2"/>
  <c r="G96" i="2"/>
  <c r="P95" i="2"/>
  <c r="O95" i="2"/>
  <c r="N95" i="2"/>
  <c r="H95" i="2"/>
  <c r="G95" i="2"/>
  <c r="P94" i="2"/>
  <c r="O94" i="2"/>
  <c r="N94" i="2"/>
  <c r="H94" i="2"/>
  <c r="G94" i="2"/>
  <c r="P93" i="2"/>
  <c r="O93" i="2"/>
  <c r="N93" i="2"/>
  <c r="H93" i="2"/>
  <c r="G93" i="2"/>
  <c r="P92" i="2"/>
  <c r="O92" i="2"/>
  <c r="N92" i="2"/>
  <c r="H92" i="2"/>
  <c r="G92" i="2"/>
  <c r="P91" i="2"/>
  <c r="O91" i="2"/>
  <c r="N91" i="2"/>
  <c r="H91" i="2"/>
  <c r="G91" i="2"/>
  <c r="P90" i="2"/>
  <c r="O90" i="2"/>
  <c r="N90" i="2"/>
  <c r="H90" i="2"/>
  <c r="G90" i="2"/>
  <c r="P89" i="2"/>
  <c r="O89" i="2"/>
  <c r="N89" i="2"/>
  <c r="H89" i="2"/>
  <c r="G89" i="2"/>
  <c r="P88" i="2"/>
  <c r="O88" i="2"/>
  <c r="N88" i="2"/>
  <c r="H88" i="2"/>
  <c r="G88" i="2"/>
  <c r="P87" i="2"/>
  <c r="O87" i="2"/>
  <c r="N87" i="2"/>
  <c r="H87" i="2"/>
  <c r="G87" i="2"/>
  <c r="P86" i="2"/>
  <c r="O86" i="2"/>
  <c r="N86" i="2"/>
  <c r="H86" i="2"/>
  <c r="G86" i="2"/>
  <c r="P85" i="2"/>
  <c r="O85" i="2"/>
  <c r="N85" i="2"/>
  <c r="H85" i="2"/>
  <c r="G85" i="2"/>
  <c r="P84" i="2"/>
  <c r="O84" i="2"/>
  <c r="N84" i="2"/>
  <c r="H84" i="2"/>
  <c r="G84" i="2"/>
  <c r="P83" i="2"/>
  <c r="O83" i="2"/>
  <c r="N83" i="2"/>
  <c r="H83" i="2"/>
  <c r="G83" i="2"/>
  <c r="P82" i="2"/>
  <c r="O82" i="2"/>
  <c r="N82" i="2"/>
  <c r="H82" i="2"/>
  <c r="G82" i="2"/>
  <c r="P81" i="2"/>
  <c r="O81" i="2"/>
  <c r="N81" i="2"/>
  <c r="H81" i="2"/>
  <c r="G81" i="2"/>
  <c r="P80" i="2"/>
  <c r="O80" i="2"/>
  <c r="N80" i="2"/>
  <c r="H80" i="2"/>
  <c r="G80" i="2"/>
  <c r="P79" i="2"/>
  <c r="O79" i="2"/>
  <c r="N79" i="2"/>
  <c r="H79" i="2"/>
  <c r="G79" i="2"/>
  <c r="P78" i="2"/>
  <c r="O78" i="2"/>
  <c r="N78" i="2"/>
  <c r="H78" i="2"/>
  <c r="G78" i="2"/>
  <c r="P77" i="2"/>
  <c r="O77" i="2"/>
  <c r="N77" i="2"/>
  <c r="H77" i="2"/>
  <c r="G77" i="2"/>
  <c r="P76" i="2"/>
  <c r="O76" i="2"/>
  <c r="N76" i="2"/>
  <c r="H76" i="2"/>
  <c r="G76" i="2"/>
  <c r="P75" i="2"/>
  <c r="O75" i="2"/>
  <c r="N75" i="2"/>
  <c r="H75" i="2"/>
  <c r="G75" i="2"/>
  <c r="P74" i="2"/>
  <c r="O74" i="2"/>
  <c r="N74" i="2"/>
  <c r="H74" i="2"/>
  <c r="G74" i="2"/>
  <c r="P73" i="2"/>
  <c r="O73" i="2"/>
  <c r="N73" i="2"/>
  <c r="H73" i="2"/>
  <c r="G73" i="2"/>
  <c r="P72" i="2"/>
  <c r="O72" i="2"/>
  <c r="N72" i="2"/>
  <c r="H72" i="2"/>
  <c r="G72" i="2"/>
  <c r="P71" i="2"/>
  <c r="O71" i="2"/>
  <c r="N71" i="2"/>
  <c r="H71" i="2"/>
  <c r="G71" i="2"/>
  <c r="P70" i="2"/>
  <c r="O70" i="2"/>
  <c r="N70" i="2"/>
  <c r="H70" i="2"/>
  <c r="G70" i="2"/>
  <c r="P69" i="2"/>
  <c r="O69" i="2"/>
  <c r="N69" i="2"/>
  <c r="H69" i="2"/>
  <c r="G69" i="2"/>
  <c r="P68" i="2"/>
  <c r="O68" i="2"/>
  <c r="N68" i="2"/>
  <c r="H68" i="2"/>
  <c r="G68" i="2"/>
  <c r="P67" i="2"/>
  <c r="O67" i="2"/>
  <c r="N67" i="2"/>
  <c r="H67" i="2"/>
  <c r="G67" i="2"/>
  <c r="P66" i="2"/>
  <c r="O66" i="2"/>
  <c r="N66" i="2"/>
  <c r="H66" i="2"/>
  <c r="G66" i="2"/>
  <c r="P65" i="2"/>
  <c r="O65" i="2"/>
  <c r="N65" i="2"/>
  <c r="H65" i="2"/>
  <c r="G65" i="2"/>
  <c r="P64" i="2"/>
  <c r="O64" i="2"/>
  <c r="N64" i="2"/>
  <c r="H64" i="2"/>
  <c r="G64" i="2"/>
  <c r="P63" i="2"/>
  <c r="O63" i="2"/>
  <c r="N63" i="2"/>
  <c r="H63" i="2"/>
  <c r="G63" i="2"/>
  <c r="P62" i="2"/>
  <c r="O62" i="2"/>
  <c r="N62" i="2"/>
  <c r="H62" i="2"/>
  <c r="G62" i="2"/>
  <c r="P61" i="2"/>
  <c r="O61" i="2"/>
  <c r="N61" i="2"/>
  <c r="H61" i="2"/>
  <c r="G61" i="2"/>
  <c r="P60" i="2"/>
  <c r="O60" i="2"/>
  <c r="N60" i="2"/>
  <c r="H60" i="2"/>
  <c r="G60" i="2"/>
  <c r="P59" i="2"/>
  <c r="O59" i="2"/>
  <c r="N59" i="2"/>
  <c r="H59" i="2"/>
  <c r="G59" i="2"/>
  <c r="P58" i="2"/>
  <c r="O58" i="2"/>
  <c r="N58" i="2"/>
  <c r="H58" i="2"/>
  <c r="G58" i="2"/>
  <c r="P57" i="2"/>
  <c r="O57" i="2"/>
  <c r="N57" i="2"/>
  <c r="H57" i="2"/>
  <c r="G57" i="2"/>
  <c r="P56" i="2"/>
  <c r="O56" i="2"/>
  <c r="N56" i="2"/>
  <c r="H56" i="2"/>
  <c r="G56" i="2"/>
  <c r="P55" i="2"/>
  <c r="O55" i="2"/>
  <c r="N55" i="2"/>
  <c r="H55" i="2"/>
  <c r="G55" i="2"/>
  <c r="P54" i="2"/>
  <c r="O54" i="2"/>
  <c r="N54" i="2"/>
  <c r="H54" i="2"/>
  <c r="G54" i="2"/>
  <c r="P53" i="2"/>
  <c r="O53" i="2"/>
  <c r="N53" i="2"/>
  <c r="H53" i="2"/>
  <c r="G53" i="2"/>
  <c r="P52" i="2"/>
  <c r="O52" i="2"/>
  <c r="N52" i="2"/>
  <c r="H52" i="2"/>
  <c r="G52" i="2"/>
  <c r="P51" i="2"/>
  <c r="O51" i="2"/>
  <c r="N51" i="2"/>
  <c r="H51" i="2"/>
  <c r="G51" i="2"/>
  <c r="P50" i="2"/>
  <c r="O50" i="2"/>
  <c r="N50" i="2"/>
  <c r="H50" i="2"/>
  <c r="G50" i="2"/>
  <c r="P49" i="2"/>
  <c r="O49" i="2"/>
  <c r="N49" i="2"/>
  <c r="H49" i="2"/>
  <c r="G49" i="2"/>
  <c r="P48" i="2"/>
  <c r="O48" i="2"/>
  <c r="N48" i="2"/>
  <c r="H48" i="2"/>
  <c r="G48" i="2"/>
  <c r="P47" i="2"/>
  <c r="O47" i="2"/>
  <c r="N47" i="2"/>
  <c r="H47" i="2"/>
  <c r="G47" i="2"/>
  <c r="P46" i="2"/>
  <c r="O46" i="2"/>
  <c r="N46" i="2"/>
  <c r="H46" i="2"/>
  <c r="G46" i="2"/>
  <c r="P45" i="2"/>
  <c r="O45" i="2"/>
  <c r="N45" i="2"/>
  <c r="H45" i="2"/>
  <c r="G45" i="2"/>
  <c r="P44" i="2"/>
  <c r="O44" i="2"/>
  <c r="N44" i="2"/>
  <c r="H44" i="2"/>
  <c r="G44" i="2"/>
  <c r="P43" i="2"/>
  <c r="O43" i="2"/>
  <c r="N43" i="2"/>
  <c r="I43" i="2"/>
  <c r="H43" i="2"/>
  <c r="G43" i="2"/>
  <c r="P42" i="2"/>
  <c r="O42" i="2"/>
  <c r="N42" i="2"/>
  <c r="H42" i="2"/>
  <c r="G42" i="2"/>
  <c r="P41" i="2"/>
  <c r="O41" i="2"/>
  <c r="N41" i="2"/>
  <c r="H41" i="2"/>
  <c r="G41" i="2"/>
  <c r="P40" i="2"/>
  <c r="O40" i="2"/>
  <c r="N40" i="2"/>
  <c r="H40" i="2"/>
  <c r="G40" i="2"/>
  <c r="P39" i="2"/>
  <c r="O39" i="2"/>
  <c r="N39" i="2"/>
  <c r="H39" i="2"/>
  <c r="G39" i="2"/>
  <c r="P38" i="2"/>
  <c r="O38" i="2"/>
  <c r="N38" i="2"/>
  <c r="H38" i="2"/>
  <c r="G38" i="2"/>
  <c r="P37" i="2"/>
  <c r="O37" i="2"/>
  <c r="N37" i="2"/>
  <c r="H37" i="2"/>
  <c r="G37" i="2"/>
  <c r="P36" i="2"/>
  <c r="O36" i="2"/>
  <c r="N36" i="2"/>
  <c r="H36" i="2"/>
  <c r="G36" i="2"/>
  <c r="P35" i="2"/>
  <c r="O35" i="2"/>
  <c r="N35" i="2"/>
  <c r="I35" i="2"/>
  <c r="H35" i="2"/>
  <c r="G35" i="2"/>
  <c r="P34" i="2"/>
  <c r="O34" i="2"/>
  <c r="N34" i="2"/>
  <c r="H34" i="2"/>
  <c r="G34" i="2"/>
  <c r="P33" i="2"/>
  <c r="O33" i="2"/>
  <c r="N33" i="2"/>
  <c r="H33" i="2"/>
  <c r="G33" i="2"/>
  <c r="P32" i="2"/>
  <c r="O32" i="2"/>
  <c r="N32" i="2"/>
  <c r="H32" i="2"/>
  <c r="G32" i="2"/>
  <c r="P31" i="2"/>
  <c r="O31" i="2"/>
  <c r="N31" i="2"/>
  <c r="H31" i="2"/>
  <c r="G31" i="2"/>
  <c r="P30" i="2"/>
  <c r="O30" i="2"/>
  <c r="N30" i="2"/>
  <c r="H30" i="2"/>
  <c r="G30" i="2"/>
  <c r="P29" i="2"/>
  <c r="O29" i="2"/>
  <c r="N29" i="2"/>
  <c r="H29" i="2"/>
  <c r="G29" i="2"/>
  <c r="P28" i="2"/>
  <c r="O28" i="2"/>
  <c r="N28" i="2"/>
  <c r="H28" i="2"/>
  <c r="G28" i="2"/>
  <c r="P27" i="2"/>
  <c r="O27" i="2"/>
  <c r="N27" i="2"/>
  <c r="H27" i="2"/>
  <c r="P26" i="2"/>
  <c r="O26" i="2"/>
  <c r="N26" i="2"/>
  <c r="H26" i="2"/>
  <c r="P25" i="2"/>
  <c r="O25" i="2"/>
  <c r="N25" i="2"/>
  <c r="H25" i="2"/>
  <c r="P24" i="2"/>
  <c r="O24" i="2"/>
  <c r="N24" i="2"/>
  <c r="H24" i="2"/>
  <c r="P23" i="2"/>
  <c r="O23" i="2"/>
  <c r="N23" i="2"/>
  <c r="J23" i="2"/>
  <c r="H23" i="2"/>
  <c r="P22" i="2"/>
  <c r="O22" i="2"/>
  <c r="N22" i="2"/>
  <c r="P21" i="2"/>
  <c r="O21" i="2"/>
  <c r="N21" i="2"/>
  <c r="P20" i="2"/>
  <c r="O20" i="2"/>
  <c r="N20" i="2"/>
  <c r="H20" i="2"/>
  <c r="P19" i="2"/>
  <c r="O19" i="2"/>
  <c r="N19" i="2"/>
  <c r="H19" i="2"/>
  <c r="P18" i="2"/>
  <c r="O18" i="2"/>
  <c r="N18" i="2"/>
  <c r="H18" i="2"/>
  <c r="P17" i="2"/>
  <c r="O17" i="2"/>
  <c r="N17" i="2"/>
  <c r="H17" i="2"/>
  <c r="P16" i="2"/>
  <c r="O16" i="2"/>
  <c r="N16" i="2"/>
  <c r="H16" i="2"/>
  <c r="P15" i="2"/>
  <c r="O15" i="2"/>
  <c r="N15" i="2"/>
  <c r="H15" i="2"/>
  <c r="P14" i="2"/>
  <c r="O14" i="2"/>
  <c r="N14" i="2"/>
  <c r="P13" i="2"/>
  <c r="O13" i="2"/>
  <c r="N13" i="2"/>
  <c r="I13" i="2"/>
  <c r="H13" i="2"/>
  <c r="P12" i="2"/>
  <c r="O12" i="2"/>
  <c r="P11" i="2"/>
  <c r="O11" i="2"/>
  <c r="I11" i="2"/>
  <c r="H11" i="2"/>
  <c r="P10" i="2"/>
  <c r="O10" i="2"/>
  <c r="I10" i="2"/>
  <c r="H10" i="2"/>
  <c r="P9" i="2"/>
  <c r="O9" i="2"/>
  <c r="P8" i="2"/>
  <c r="O8" i="2"/>
  <c r="P7" i="2"/>
  <c r="O7" i="2"/>
  <c r="P6" i="2"/>
  <c r="O6" i="2"/>
  <c r="P5" i="2"/>
  <c r="O5" i="2"/>
  <c r="P4" i="2"/>
  <c r="O4" i="2"/>
  <c r="L4" i="2"/>
  <c r="K4" i="2"/>
  <c r="J4" i="2"/>
  <c r="I4" i="2"/>
  <c r="H4" i="2"/>
  <c r="G4" i="2"/>
  <c r="F4" i="2"/>
  <c r="Q3" i="2"/>
  <c r="P3" i="2"/>
  <c r="L3" i="2"/>
  <c r="K3" i="2"/>
  <c r="J3" i="2"/>
  <c r="I3" i="2"/>
  <c r="H3" i="2"/>
  <c r="G3" i="2"/>
  <c r="F3" i="2"/>
  <c r="R2" i="2"/>
  <c r="O2" i="2"/>
  <c r="L2" i="2"/>
  <c r="K2" i="2"/>
  <c r="J2" i="2"/>
  <c r="I2" i="2"/>
  <c r="H2" i="2"/>
  <c r="G2" i="2"/>
  <c r="F2" i="2"/>
  <c r="L1" i="2"/>
  <c r="K1" i="2"/>
  <c r="J1" i="2"/>
  <c r="I1" i="2"/>
  <c r="D5" i="33"/>
</calcChain>
</file>

<file path=xl/sharedStrings.xml><?xml version="1.0" encoding="utf-8"?>
<sst xmlns="http://schemas.openxmlformats.org/spreadsheetml/2006/main" count="4044" uniqueCount="1134">
  <si>
    <t>Billions</t>
  </si>
  <si>
    <t xml:space="preserve">Suppose you have a cabin made up of hard wood walls. </t>
  </si>
  <si>
    <r>
      <t>R (ft</t>
    </r>
    <r>
      <rPr>
        <vertAlign val="superscript"/>
        <sz val="12"/>
        <rFont val="Times New Roman"/>
        <family val="1"/>
      </rPr>
      <t>2</t>
    </r>
    <r>
      <rPr>
        <sz val="12"/>
        <rFont val="Times New Roman"/>
        <family val="1"/>
      </rPr>
      <t>*hour*</t>
    </r>
    <r>
      <rPr>
        <sz val="12"/>
        <rFont val="Symbol"/>
        <family val="1"/>
      </rPr>
      <t>D</t>
    </r>
    <r>
      <rPr>
        <sz val="12"/>
        <rFont val="Times New Roman"/>
        <family val="1"/>
      </rPr>
      <t>T/BTU)</t>
    </r>
  </si>
  <si>
    <t>A last one month, B lasts 2 months</t>
  </si>
  <si>
    <t>hours per month</t>
  </si>
  <si>
    <t>op</t>
  </si>
  <si>
    <t>B</t>
  </si>
  <si>
    <t xml:space="preserve">A </t>
  </si>
  <si>
    <t>user cost</t>
  </si>
  <si>
    <t>user cost A</t>
  </si>
  <si>
    <t>user cost B</t>
  </si>
  <si>
    <t>P</t>
  </si>
  <si>
    <t>Tax =</t>
  </si>
  <si>
    <t>f.  If you set the tax and standard as in part d and the marginal cost is actually -4 +4P, what would the losses compared to the optimum be under a tax and under a standard.  Where MC = 10-2P, tax = 10, standard =  4.</t>
  </si>
  <si>
    <t>Standard=</t>
  </si>
  <si>
    <t>optimum P=</t>
  </si>
  <si>
    <t>optimum MB=</t>
  </si>
  <si>
    <t>Loss from tax</t>
  </si>
  <si>
    <t xml:space="preserve">At tax of </t>
  </si>
  <si>
    <t>P would be =</t>
  </si>
  <si>
    <t>P=</t>
  </si>
  <si>
    <t>Loss = (.5*)</t>
  </si>
  <si>
    <t>(</t>
  </si>
  <si>
    <t>)*(</t>
  </si>
  <si>
    <t>or NPV</t>
  </si>
  <si>
    <t>n=12</t>
  </si>
  <si>
    <t>%K</t>
  </si>
  <si>
    <t>n=84</t>
  </si>
  <si>
    <r>
      <t>1/(1=r)</t>
    </r>
    <r>
      <rPr>
        <vertAlign val="superscript"/>
        <sz val="12"/>
        <rFont val="Times New Roman"/>
        <family val="1"/>
      </rPr>
      <t>n</t>
    </r>
  </si>
  <si>
    <t>FSU</t>
  </si>
  <si>
    <t>i=</t>
  </si>
  <si>
    <t>incandescent watts</t>
  </si>
  <si>
    <t>months</t>
  </si>
  <si>
    <t>hours run/month</t>
  </si>
  <si>
    <t>op cost</t>
  </si>
  <si>
    <t>cost/kwh</t>
  </si>
  <si>
    <t>lev. cost</t>
  </si>
  <si>
    <t>fluorescent watts</t>
  </si>
  <si>
    <t>lev cost</t>
  </si>
  <si>
    <t>Kcost</t>
  </si>
  <si>
    <t>K cost</t>
  </si>
  <si>
    <t>total cost</t>
  </si>
  <si>
    <t>7 incandescents</t>
  </si>
  <si>
    <t>PV K cost</t>
  </si>
  <si>
    <t>MB1</t>
  </si>
  <si>
    <t>A</t>
  </si>
  <si>
    <t>A1=</t>
  </si>
  <si>
    <t>=0 at</t>
  </si>
  <si>
    <t>MB2</t>
  </si>
  <si>
    <t>A2=</t>
  </si>
  <si>
    <t>MC=</t>
  </si>
  <si>
    <t>SMB</t>
  </si>
  <si>
    <t>As</t>
  </si>
  <si>
    <t>Sum</t>
  </si>
  <si>
    <t>Costs per hour of operation compact fluorescent vs. incandescent</t>
  </si>
  <si>
    <t>unit cost</t>
  </si>
  <si>
    <t>watts</t>
  </si>
  <si>
    <t>K</t>
  </si>
  <si>
    <t>r</t>
  </si>
  <si>
    <t>m compounding</t>
  </si>
  <si>
    <t>hours</t>
  </si>
  <si>
    <t>$/kwh</t>
  </si>
  <si>
    <t>op costs</t>
  </si>
  <si>
    <t>incand op</t>
  </si>
  <si>
    <t>fluor op</t>
  </si>
  <si>
    <t>=0.75*1.05/750</t>
  </si>
  <si>
    <t>total incand</t>
  </si>
  <si>
    <t>total fluor</t>
  </si>
  <si>
    <t>E(P)</t>
  </si>
  <si>
    <t>hw9.4</t>
  </si>
  <si>
    <t>MC1</t>
  </si>
  <si>
    <t>MC2</t>
  </si>
  <si>
    <t>MC3</t>
  </si>
  <si>
    <t>b.</t>
  </si>
  <si>
    <t>E(MC)</t>
  </si>
  <si>
    <t>MB=</t>
  </si>
  <si>
    <t>A=</t>
  </si>
  <si>
    <t>r=</t>
  </si>
  <si>
    <t>page 10</t>
  </si>
  <si>
    <t>K=</t>
  </si>
  <si>
    <t>n=</t>
  </si>
  <si>
    <t>X=</t>
  </si>
  <si>
    <t>K/X</t>
  </si>
  <si>
    <t>I.</t>
  </si>
  <si>
    <t>II.</t>
  </si>
  <si>
    <t>Year</t>
  </si>
  <si>
    <t>discount sum</t>
  </si>
  <si>
    <t>III.</t>
  </si>
  <si>
    <t>Check out Amory Lovins</t>
  </si>
  <si>
    <t>Durability</t>
  </si>
  <si>
    <t>Obsolescence</t>
  </si>
  <si>
    <t>NPV</t>
  </si>
  <si>
    <t>sum</t>
  </si>
  <si>
    <t xml:space="preserve">Hardwood 1"                            </t>
  </si>
  <si>
    <t xml:space="preserve">Softwood   1"                            </t>
  </si>
  <si>
    <t xml:space="preserve">Concrete Block 8"                     </t>
  </si>
  <si>
    <t xml:space="preserve">Brick 1"                                     </t>
  </si>
  <si>
    <t xml:space="preserve">Flat glass 1/8"                           </t>
  </si>
  <si>
    <t>Cellulose Insulation 1"</t>
  </si>
  <si>
    <t xml:space="preserve">Insulation glass 1/4" air space  </t>
  </si>
  <si>
    <t xml:space="preserve">Insulation glass 1/2" air space  </t>
  </si>
  <si>
    <t xml:space="preserve">Nylon carpet 1"                        </t>
  </si>
  <si>
    <t xml:space="preserve">fiber glass insulation 6"                   </t>
  </si>
  <si>
    <t>Source:  Hinrichs (1996)</t>
  </si>
  <si>
    <t>Table 9.1 Resistivity Measures for Various Construction Materials</t>
  </si>
  <si>
    <t xml:space="preserve">Material </t>
  </si>
  <si>
    <t>Pop</t>
  </si>
  <si>
    <t>GDP</t>
  </si>
  <si>
    <t>capita</t>
  </si>
  <si>
    <t>Country</t>
  </si>
  <si>
    <t>Canada</t>
  </si>
  <si>
    <t>Mexico</t>
  </si>
  <si>
    <t>United States</t>
  </si>
  <si>
    <t>North America</t>
  </si>
  <si>
    <t>Argentina</t>
  </si>
  <si>
    <t>Brazil</t>
  </si>
  <si>
    <t>Venezuela</t>
  </si>
  <si>
    <t>Belgium</t>
  </si>
  <si>
    <t>France</t>
  </si>
  <si>
    <t>Germany</t>
  </si>
  <si>
    <t>Germany, East</t>
  </si>
  <si>
    <t>Germany, West</t>
  </si>
  <si>
    <t>Italy</t>
  </si>
  <si>
    <t>Netherlands</t>
  </si>
  <si>
    <t>Spain</t>
  </si>
  <si>
    <t>Turkey</t>
  </si>
  <si>
    <t>United Kingdom</t>
  </si>
  <si>
    <t>Kazakhstan</t>
  </si>
  <si>
    <t>Iran</t>
  </si>
  <si>
    <t>Saudi Arabia</t>
  </si>
  <si>
    <t>United Arab Emirates</t>
  </si>
  <si>
    <t>Middle East</t>
  </si>
  <si>
    <t>Egypt</t>
  </si>
  <si>
    <t>Nigeria</t>
  </si>
  <si>
    <t>South Africa</t>
  </si>
  <si>
    <t>Africa</t>
  </si>
  <si>
    <t>Australia</t>
  </si>
  <si>
    <t>China</t>
  </si>
  <si>
    <t>India</t>
  </si>
  <si>
    <t>Indonesia</t>
  </si>
  <si>
    <t>Japan</t>
  </si>
  <si>
    <t>Korea, North</t>
  </si>
  <si>
    <t>Korea, South</t>
  </si>
  <si>
    <t>Taiwan</t>
  </si>
  <si>
    <t>Thailand</t>
  </si>
  <si>
    <t>Sweden</t>
  </si>
  <si>
    <t>Switzerland</t>
  </si>
  <si>
    <t>Syrian Arab Republic</t>
  </si>
  <si>
    <t>Taiwan Province of China</t>
  </si>
  <si>
    <t>Tajikistan</t>
  </si>
  <si>
    <t>Tanzania</t>
  </si>
  <si>
    <t>Timor-Leste, Dem. Rep. of</t>
  </si>
  <si>
    <t>Togo</t>
  </si>
  <si>
    <t>Tonga</t>
  </si>
  <si>
    <t>Trinidad and Tobago</t>
  </si>
  <si>
    <t>Tunisia</t>
  </si>
  <si>
    <t>Turkmenistan</t>
  </si>
  <si>
    <t>Uganda</t>
  </si>
  <si>
    <t>Uruguay</t>
  </si>
  <si>
    <t>Vanuatu</t>
  </si>
  <si>
    <t>Vietnam</t>
  </si>
  <si>
    <t>Yemen, Republic of</t>
  </si>
  <si>
    <t>Zambia</t>
  </si>
  <si>
    <t>Zimbabwe</t>
  </si>
  <si>
    <t>IMF</t>
  </si>
  <si>
    <t>http://www.imf.org/external/pubs/ft/weo/2004/02/data/dbcoutm.cfm?SD=2003&amp;ED=2003&amp;R1=1&amp;R2=1&amp;CS=3&amp;SS=2&amp;OS=C&amp;DD=0&amp;OUT=1&amp;C=914-446-612-666-614-672-311-946-213-137-911-962-193-674-122-676-912-548-313-556-419-678-513-181-316-682-913-684-124-273-339-921-638-948-514-686-218-688-963-518-616-728-223-558-516-138-918-353-748-196-618-278-522-692-622-694-156-142-624-449-626-564-628-283-228-853-924-288-233-293-632-566-636-964-634-182-238-453-662-968-960-922-423-714-935-862-128-716-611-456-321-722-243-965-248-718-469-724-253-576-642-936-643-961-939-813-644-199-819-184-172-524-132-361-646-362-648-364-915-732-134-366-652-734-174-144-328-146-258-463-656-528-654-923-336-738-263-578-268-537-532-742-944-866-176-369-534-744-536-186-429-925-178-746-436-926-136-466-343-112-158-111-439-298-916-927-664-846-826-299-542-582-443-474-917-754-544-698-941&amp;S=NGDP-PPPEX&amp;CMP=0&amp;x=61&amp;y=16</t>
  </si>
  <si>
    <t>PV(c2)</t>
  </si>
  <si>
    <t>=</t>
  </si>
  <si>
    <t>Levelized costs</t>
  </si>
  <si>
    <t>You have been offered two different contracts for district heating.</t>
  </si>
  <si>
    <t xml:space="preserve">and your annual consumption is </t>
  </si>
  <si>
    <t>At the end of year one you pay $</t>
  </si>
  <si>
    <t>At the end of year two you pay $</t>
  </si>
  <si>
    <r>
      <t>per MMBTU (10</t>
    </r>
    <r>
      <rPr>
        <vertAlign val="superscript"/>
        <sz val="12"/>
        <rFont val="Times New Roman"/>
        <family val="1"/>
      </rPr>
      <t>6</t>
    </r>
    <r>
      <rPr>
        <sz val="12"/>
        <rFont val="Times New Roman"/>
        <family val="1"/>
      </rPr>
      <t xml:space="preserve"> BTU) for all consumption in year two.</t>
    </r>
  </si>
  <si>
    <r>
      <t>per MMBTU (10</t>
    </r>
    <r>
      <rPr>
        <vertAlign val="superscript"/>
        <sz val="12"/>
        <rFont val="Times New Roman"/>
        <family val="1"/>
      </rPr>
      <t>6</t>
    </r>
    <r>
      <rPr>
        <sz val="12"/>
        <rFont val="Times New Roman"/>
        <family val="1"/>
      </rPr>
      <t xml:space="preserve"> BTU) for all consumption in year one.</t>
    </r>
  </si>
  <si>
    <t>Contract 1 (Standard contract):  In the first year your up front payment is $</t>
  </si>
  <si>
    <t>Contract 2 (Conservation contract):  In the first year your up front payment is $</t>
  </si>
  <si>
    <t xml:space="preserve">If your discount rate is </t>
  </si>
  <si>
    <t>%</t>
  </si>
  <si>
    <t>MMBTU, which contract would you choose?</t>
  </si>
  <si>
    <t>PV(C1) =</t>
  </si>
  <si>
    <t>+</t>
  </si>
  <si>
    <t>*</t>
  </si>
  <si>
    <t>(1+</t>
  </si>
  <si>
    <t>)</t>
  </si>
  <si>
    <r>
      <t>)</t>
    </r>
    <r>
      <rPr>
        <vertAlign val="superscript"/>
        <sz val="12"/>
        <rFont val="Times New Roman"/>
        <family val="1"/>
      </rPr>
      <t>2</t>
    </r>
  </si>
  <si>
    <t>Czech Republic</t>
  </si>
  <si>
    <t>Hungary</t>
  </si>
  <si>
    <t>Poland</t>
  </si>
  <si>
    <t>Romania</t>
  </si>
  <si>
    <t>Russia</t>
  </si>
  <si>
    <t>Ukraine</t>
  </si>
  <si>
    <t>Uzbekistan</t>
  </si>
  <si>
    <t>Subject Description</t>
  </si>
  <si>
    <t>Units</t>
  </si>
  <si>
    <t>Scale</t>
  </si>
  <si>
    <t>Albania</t>
  </si>
  <si>
    <t>Gross domestic product, current prices</t>
  </si>
  <si>
    <t>National currency</t>
  </si>
  <si>
    <t>PPP US dollar exchange rate</t>
  </si>
  <si>
    <t>US dollars</t>
  </si>
  <si>
    <t xml:space="preserve"> </t>
  </si>
  <si>
    <t>Algeria</t>
  </si>
  <si>
    <t>Angola</t>
  </si>
  <si>
    <t>Antigua and Barbuda</t>
  </si>
  <si>
    <t>Armenia</t>
  </si>
  <si>
    <t>Austria</t>
  </si>
  <si>
    <t>Azerbaijan</t>
  </si>
  <si>
    <t>Bahamas, The</t>
  </si>
  <si>
    <t>Bahrain</t>
  </si>
  <si>
    <t>Bangladesh</t>
  </si>
  <si>
    <t>Barbados</t>
  </si>
  <si>
    <t>Belarus</t>
  </si>
  <si>
    <t>Belize</t>
  </si>
  <si>
    <t>Benin</t>
  </si>
  <si>
    <t>Bhutan</t>
  </si>
  <si>
    <t>Bolivia</t>
  </si>
  <si>
    <t>Bosnia and Herzegovina</t>
  </si>
  <si>
    <t>Botswana</t>
  </si>
  <si>
    <t>Brunei Darussalam</t>
  </si>
  <si>
    <t>Bulgaria</t>
  </si>
  <si>
    <t>Burkina Faso</t>
  </si>
  <si>
    <t>Burundi</t>
  </si>
  <si>
    <t>Cambodia</t>
  </si>
  <si>
    <t>Cameroon</t>
  </si>
  <si>
    <t>Cape Verde</t>
  </si>
  <si>
    <t>Central African Republic</t>
  </si>
  <si>
    <t>Chad</t>
  </si>
  <si>
    <t>Chile</t>
  </si>
  <si>
    <t>Colombia</t>
  </si>
  <si>
    <t>Comoros</t>
  </si>
  <si>
    <t>Congo, Democratic Republic of</t>
  </si>
  <si>
    <t>Congo, Republic of</t>
  </si>
  <si>
    <t>Costa Rica</t>
  </si>
  <si>
    <t>Côte d'Ivoire</t>
  </si>
  <si>
    <t>Croatia</t>
  </si>
  <si>
    <t>Cyprus</t>
  </si>
  <si>
    <t>Denmark</t>
  </si>
  <si>
    <t>Djibouti</t>
  </si>
  <si>
    <t>Dominica</t>
  </si>
  <si>
    <t>Dominican Republic</t>
  </si>
  <si>
    <t>Ecuador</t>
  </si>
  <si>
    <t>El Salvador</t>
  </si>
  <si>
    <t>Equatorial Guinea</t>
  </si>
  <si>
    <t>Eritrea</t>
  </si>
  <si>
    <t>Estonia</t>
  </si>
  <si>
    <t>Ethiopia</t>
  </si>
  <si>
    <t>Fiji</t>
  </si>
  <si>
    <t>Finland</t>
  </si>
  <si>
    <t>Gabon</t>
  </si>
  <si>
    <t>Gambia, The</t>
  </si>
  <si>
    <t>Georgia</t>
  </si>
  <si>
    <t>Ghana</t>
  </si>
  <si>
    <t>Greece</t>
  </si>
  <si>
    <t>Grenada</t>
  </si>
  <si>
    <t>Guatemala</t>
  </si>
  <si>
    <t>Guinea</t>
  </si>
  <si>
    <t>Guinea-Bissau</t>
  </si>
  <si>
    <t>Guyana</t>
  </si>
  <si>
    <t>Haiti</t>
  </si>
  <si>
    <t>Honduras</t>
  </si>
  <si>
    <t>Hong Kong SAR</t>
  </si>
  <si>
    <t>Iceland</t>
  </si>
  <si>
    <t>Iran, Islamic Republic of</t>
  </si>
  <si>
    <t>Ireland</t>
  </si>
  <si>
    <t>Israel</t>
  </si>
  <si>
    <t>Jamaica</t>
  </si>
  <si>
    <t>Jordan</t>
  </si>
  <si>
    <t>Kenya</t>
  </si>
  <si>
    <t>Kiribati</t>
  </si>
  <si>
    <t>Korea</t>
  </si>
  <si>
    <t>Kuwait</t>
  </si>
  <si>
    <t>Kyrgyz Republic</t>
  </si>
  <si>
    <t>Lao People's Democratic Republic</t>
  </si>
  <si>
    <t>Latvia</t>
  </si>
  <si>
    <t>Lebanon</t>
  </si>
  <si>
    <t>Lesotho</t>
  </si>
  <si>
    <t>Libya</t>
  </si>
  <si>
    <t>Lithuania</t>
  </si>
  <si>
    <t>Luxembourg</t>
  </si>
  <si>
    <t>Macedonia, Former Yugoslav Republic of</t>
  </si>
  <si>
    <t>Madagascar</t>
  </si>
  <si>
    <t>Malawi</t>
  </si>
  <si>
    <t>Malaysia</t>
  </si>
  <si>
    <t>Maldives</t>
  </si>
  <si>
    <t>Mali</t>
  </si>
  <si>
    <t>Malta</t>
  </si>
  <si>
    <t>Mauritania</t>
  </si>
  <si>
    <t>Mauritius</t>
  </si>
  <si>
    <t>Moldova</t>
  </si>
  <si>
    <t>Mongolia</t>
  </si>
  <si>
    <t>Morocco</t>
  </si>
  <si>
    <t>Mozambique</t>
  </si>
  <si>
    <t>Myanmar</t>
  </si>
  <si>
    <t>Namibia</t>
  </si>
  <si>
    <t>Nepal</t>
  </si>
  <si>
    <t>Netherlands Antilles</t>
  </si>
  <si>
    <t>New Zealand</t>
  </si>
  <si>
    <t>Nicaragua</t>
  </si>
  <si>
    <t>Niger</t>
  </si>
  <si>
    <t>Norway</t>
  </si>
  <si>
    <t>Oman</t>
  </si>
  <si>
    <t>Pakistan</t>
  </si>
  <si>
    <t>Panama</t>
  </si>
  <si>
    <t>Papua New Guinea</t>
  </si>
  <si>
    <t>Paraguay</t>
  </si>
  <si>
    <t>Peru</t>
  </si>
  <si>
    <t>Philippines</t>
  </si>
  <si>
    <t>Portugal</t>
  </si>
  <si>
    <t>Qatar</t>
  </si>
  <si>
    <t>Rwanda</t>
  </si>
  <si>
    <t>Samoa</t>
  </si>
  <si>
    <t>São Tomé and Príncipe</t>
  </si>
  <si>
    <t>Senegal</t>
  </si>
  <si>
    <t>Serbia and Montenegro</t>
  </si>
  <si>
    <t>Seychelles</t>
  </si>
  <si>
    <t>Sierra Leone</t>
  </si>
  <si>
    <t>Singapore</t>
  </si>
  <si>
    <t>Slovak Republic</t>
  </si>
  <si>
    <t>Slovenia</t>
  </si>
  <si>
    <t>Solomon Islands</t>
  </si>
  <si>
    <t>Sri Lanka</t>
  </si>
  <si>
    <t>St. Kitts and Nevis</t>
  </si>
  <si>
    <t>St. Lucia</t>
  </si>
  <si>
    <t>St. Vincent and the Grenadines</t>
  </si>
  <si>
    <t>Sudan</t>
  </si>
  <si>
    <t>Suriname</t>
  </si>
  <si>
    <t>Swaziland</t>
  </si>
  <si>
    <t>*quoted from Hendricks et al (1978)</t>
  </si>
  <si>
    <t>Dehumidifier</t>
  </si>
  <si>
    <t>Simming pool pump</t>
  </si>
  <si>
    <t>Humidifier</t>
  </si>
  <si>
    <t>Electric blanket</t>
  </si>
  <si>
    <t>Electric water heater</t>
  </si>
  <si>
    <t>Manual-defrosting freezer</t>
  </si>
  <si>
    <t>Self-defrosting freezer</t>
  </si>
  <si>
    <t>Manual-defrosting refrig.</t>
  </si>
  <si>
    <t>Self-defrosting refrigerator</t>
  </si>
  <si>
    <t>Color TV</t>
  </si>
  <si>
    <t>Black and White TV</t>
  </si>
  <si>
    <t>Microwave oven</t>
  </si>
  <si>
    <t>Trash compactor</t>
  </si>
  <si>
    <t>Sink disposal</t>
  </si>
  <si>
    <t>Dishwasher</t>
  </si>
  <si>
    <t>Electric dryer</t>
  </si>
  <si>
    <t>Electric washer</t>
  </si>
  <si>
    <t>Electric Range</t>
  </si>
  <si>
    <t>Wattage</t>
  </si>
  <si>
    <t>Appliances</t>
  </si>
  <si>
    <t>Appliance Wattages</t>
  </si>
  <si>
    <t>Former Czechoslovakia</t>
  </si>
  <si>
    <t>carbon dioxide</t>
  </si>
  <si>
    <t>CO2</t>
  </si>
  <si>
    <t>50-200</t>
  </si>
  <si>
    <t>methane</t>
  </si>
  <si>
    <t>CH4</t>
  </si>
  <si>
    <t>nitrous oxide</t>
  </si>
  <si>
    <t>N2O</t>
  </si>
  <si>
    <t>sulfur hexafluoride</t>
  </si>
  <si>
    <t>SF6</t>
  </si>
  <si>
    <t>CF4</t>
  </si>
  <si>
    <t>&gt;50000</t>
  </si>
  <si>
    <t>100 years GHG equivalent</t>
  </si>
  <si>
    <t>lifetime Years</t>
  </si>
  <si>
    <t>perfluormethane</t>
  </si>
  <si>
    <t>Total Historical CO2 Emissions 1900-2004 (million metric tons)</t>
  </si>
  <si>
    <t>Share of Historical Emissions</t>
  </si>
  <si>
    <t>Rank</t>
  </si>
  <si>
    <t>CO2 Emissions in 2006 (Thousand Metric tons)</t>
  </si>
  <si>
    <t>Share of 2006 Emissions</t>
  </si>
  <si>
    <t>CO2 Emissions per Capita 2006</t>
  </si>
  <si>
    <t>GDP per Capita 2008 (Int $'s)</t>
  </si>
  <si>
    <t>Difference between historical share and current share of emissions</t>
  </si>
  <si>
    <t>South Korea</t>
  </si>
  <si>
    <t>North Korea</t>
  </si>
  <si>
    <t>N/A</t>
  </si>
  <si>
    <t>Slovakia</t>
  </si>
  <si>
    <t>Former Serbia and Montenegro</t>
  </si>
  <si>
    <t>Iraq</t>
  </si>
  <si>
    <t>Cuba</t>
  </si>
  <si>
    <t>Syria</t>
  </si>
  <si>
    <t>Hong Kong</t>
  </si>
  <si>
    <t>Moldova, Rep</t>
  </si>
  <si>
    <t>Kyrgyzstan</t>
  </si>
  <si>
    <t>Macedonia, FYR</t>
  </si>
  <si>
    <t>Yemen</t>
  </si>
  <si>
    <t>Burma (Myanmar)</t>
  </si>
  <si>
    <t xml:space="preserve">Brunei </t>
  </si>
  <si>
    <t>Congo, Dem Rep</t>
  </si>
  <si>
    <t>Cote d'Ivoire (Ivory Coast)</t>
  </si>
  <si>
    <t>Afghanistan</t>
  </si>
  <si>
    <t>Liberia</t>
  </si>
  <si>
    <t>Somalia</t>
  </si>
  <si>
    <t>Lao People's Dem Rep</t>
  </si>
  <si>
    <t>Central African Rep</t>
  </si>
  <si>
    <t>Gambia</t>
  </si>
  <si>
    <t>Nauru</t>
  </si>
  <si>
    <t>St. Vincent/ Grenadines</t>
  </si>
  <si>
    <t>Palau</t>
  </si>
  <si>
    <t>Saint Kitts and Nevis</t>
  </si>
  <si>
    <t>Cook Islands</t>
  </si>
  <si>
    <t>Niue</t>
  </si>
  <si>
    <t>http://www.guardian.co.uk/environment/datablog/2009/sep/02/co2-emissions-historical</t>
  </si>
  <si>
    <t>http://www.iea.org/co2highlights/</t>
  </si>
  <si>
    <t>http://imf.org/external/pubs/ft/weo/2009/02/weodata/weorept.aspx?pr.x=26&amp;pr.y=15&amp;sy=2008&amp;ey=2008&amp;scsm=1&amp;ssd=1&amp;sort=country&amp;ds=.&amp;br=1&amp;c=512%2C941%2C914%2C446%2C612%2C666%2C614%2C668%2C311%2C672%2C213%2C946%2C911%2C137%2C193%2C962%2C122%2C674%2C912%2C676%2C313%2C548%2C419%2C556%2C513%2C678%2C316%2C181%2C913%2C682%2C124%2C684%2C339%2C273%2C638%2C921%2C514%2C948%2C218%2C943%2C963%2C686%2C616%2C688%2C223%2C518%2C516%2C728%2C918%2C558%2C748%2C138%2C618%2C196%2C522%2C278%2C622%2C692%2C156%2C694%2C624%2C142%2C626%2C449%2C628%2C564%2C228%2C283%2C924%2C853%2C233%2C288%2C632%2C293%2C636%2C566%2C634%2C964%2C238%2C182%2C662%2C453%2C960%2C968%2C423%2C922%2C935%2C714%2C128%2C862%2C611%2C716%2C321%2C456%2C243%2C722%2C248%2C942%2C469%2C718%2C253%2C724%2C642%2C576%2C643%2C936%2C939%2C961%2C644%2C813%2C819%2C199%2C172%2C184%2C132%2C524%2C646%2C361%2C648%2C362%2C915%2C364%2C134%2C732%2C652%2C366%2C174%2C734%2C328%2C144%2C258%2C146%2C656%2C463%2C654%2C528%2C336%2C923%2C263%2C738%2C268%2C578%2C532%2C537%2C944%2C742%2C176%2C866%2C534%2C369%2C536%2C744%2C429%2C186%2C433%2C925%2C178%2C746%2C436%2C926%2C136%2C466%2C343%2C112%2C158%2C111%2C439%2C298%2C916%2C927%2C664%2C846%2C826%2C299%2C542%2C582%2C443%2C474%2C917%2C754%2C544%2C698&amp;s=PPPPC&amp;grp=0&amp;a=</t>
  </si>
  <si>
    <t>Cap-and-Trade</t>
  </si>
  <si>
    <t>Carbon Tax</t>
  </si>
  <si>
    <t>Type of Policy</t>
  </si>
  <si>
    <t>Market Based</t>
  </si>
  <si>
    <t>Policy Result</t>
  </si>
  <si>
    <t>Emission level certainty,                            Cost uncertainty</t>
  </si>
  <si>
    <t>Cost certainty,                                         Emission level Uncertainty</t>
  </si>
  <si>
    <t>Policy Goal</t>
  </si>
  <si>
    <t>Reduce GHG emissions, create revenues to be used for R &amp; D and speed development of renewable energy</t>
  </si>
  <si>
    <t>Supported By</t>
  </si>
  <si>
    <t>Environmental Scientists and Politicians</t>
  </si>
  <si>
    <t>Economists and Industry</t>
  </si>
  <si>
    <t>Carbon Dioxide Emissions *</t>
  </si>
  <si>
    <t>Change</t>
  </si>
  <si>
    <t>2009 over</t>
  </si>
  <si>
    <t>share</t>
  </si>
  <si>
    <t>Million tonnes carbon dioxide</t>
  </si>
  <si>
    <t>of total</t>
  </si>
  <si>
    <t>co/pop</t>
  </si>
  <si>
    <t>Afr</t>
  </si>
  <si>
    <t>Alg</t>
  </si>
  <si>
    <t>Apa</t>
  </si>
  <si>
    <t>Asia Pacific</t>
  </si>
  <si>
    <t>Arg</t>
  </si>
  <si>
    <t>Aus</t>
  </si>
  <si>
    <t>Aut</t>
  </si>
  <si>
    <t>Aze</t>
  </si>
  <si>
    <t>Ban</t>
  </si>
  <si>
    <t>Blr</t>
  </si>
  <si>
    <t>BLx</t>
  </si>
  <si>
    <t>Belgium &amp; Luxembourg</t>
  </si>
  <si>
    <t>Bra</t>
  </si>
  <si>
    <t>Bul</t>
  </si>
  <si>
    <t>Can</t>
  </si>
  <si>
    <t>Chl</t>
  </si>
  <si>
    <t>Chi</t>
  </si>
  <si>
    <t>ChiH</t>
  </si>
  <si>
    <t>China Hong Kong SAR</t>
  </si>
  <si>
    <t>Col</t>
  </si>
  <si>
    <t>Cze</t>
  </si>
  <si>
    <t>Den</t>
  </si>
  <si>
    <t>Ecu</t>
  </si>
  <si>
    <t>Egy</t>
  </si>
  <si>
    <t>Eu</t>
  </si>
  <si>
    <t xml:space="preserve">European Union </t>
  </si>
  <si>
    <t>EuA</t>
  </si>
  <si>
    <t>Europe &amp; Eurasia</t>
  </si>
  <si>
    <t>Fin</t>
  </si>
  <si>
    <t>Fra</t>
  </si>
  <si>
    <t>Former Soviet Union</t>
  </si>
  <si>
    <t>Ger</t>
  </si>
  <si>
    <t>Gre</t>
  </si>
  <si>
    <t>Hun</t>
  </si>
  <si>
    <t>Ice</t>
  </si>
  <si>
    <t>Idn</t>
  </si>
  <si>
    <t>Ind</t>
  </si>
  <si>
    <t>Ire</t>
  </si>
  <si>
    <t>Republic of Ireland</t>
  </si>
  <si>
    <t>Irn</t>
  </si>
  <si>
    <t>Ita</t>
  </si>
  <si>
    <t>Jap</t>
  </si>
  <si>
    <t>Kaz</t>
  </si>
  <si>
    <t>Kor</t>
  </si>
  <si>
    <t>Kuw</t>
  </si>
  <si>
    <t>Lam</t>
  </si>
  <si>
    <t>S. &amp; Cent. America</t>
  </si>
  <si>
    <t>Lit</t>
  </si>
  <si>
    <t>Mal</t>
  </si>
  <si>
    <t>Mex</t>
  </si>
  <si>
    <t>Mid</t>
  </si>
  <si>
    <t>Nam</t>
  </si>
  <si>
    <t>Net</t>
  </si>
  <si>
    <t>Nor</t>
  </si>
  <si>
    <t>Nzl</t>
  </si>
  <si>
    <t>Oec</t>
  </si>
  <si>
    <t>OECD</t>
  </si>
  <si>
    <t>Ome</t>
  </si>
  <si>
    <t>Other EMEs</t>
  </si>
  <si>
    <t>OtAf</t>
  </si>
  <si>
    <t>Other Africa</t>
  </si>
  <si>
    <t>OtAP</t>
  </si>
  <si>
    <t>Other Asia Pacific</t>
  </si>
  <si>
    <t>OtEA</t>
  </si>
  <si>
    <t>Other Europe &amp; Eurasia</t>
  </si>
  <si>
    <t>OtL</t>
  </si>
  <si>
    <t>Other S. &amp; Cent. America</t>
  </si>
  <si>
    <t>OtMid</t>
  </si>
  <si>
    <t>Other Middle East</t>
  </si>
  <si>
    <t>Pak</t>
  </si>
  <si>
    <t>Per</t>
  </si>
  <si>
    <t>Phi</t>
  </si>
  <si>
    <t>Pol</t>
  </si>
  <si>
    <t>Por</t>
  </si>
  <si>
    <t>Qat</t>
  </si>
  <si>
    <t>Rom</t>
  </si>
  <si>
    <t>Rus</t>
  </si>
  <si>
    <t>Russian Federation</t>
  </si>
  <si>
    <t>Sau</t>
  </si>
  <si>
    <t>Sin</t>
  </si>
  <si>
    <t>Sla</t>
  </si>
  <si>
    <t>Spa</t>
  </si>
  <si>
    <t>Swe</t>
  </si>
  <si>
    <t>Swi</t>
  </si>
  <si>
    <t>Tai</t>
  </si>
  <si>
    <t>Tha</t>
  </si>
  <si>
    <t>Tkm</t>
  </si>
  <si>
    <t>Tur</t>
  </si>
  <si>
    <t>Uae</t>
  </si>
  <si>
    <t>Ukm</t>
  </si>
  <si>
    <t>Ukr</t>
  </si>
  <si>
    <t>Usa</t>
  </si>
  <si>
    <t>US</t>
  </si>
  <si>
    <t>Uzb</t>
  </si>
  <si>
    <t>Ven</t>
  </si>
  <si>
    <t>Wor</t>
  </si>
  <si>
    <t>World</t>
  </si>
  <si>
    <t>Zaf</t>
  </si>
  <si>
    <t xml:space="preserve"> # Excludes Estonia, Latvia and Lithuania prior to 1985 and Slovenia prior to 1991</t>
  </si>
  <si>
    <t xml:space="preserve"> average conversion factors. This does not allow for any carbon that is sequestered, for other sources of carbon emissions,</t>
  </si>
  <si>
    <t xml:space="preserve"> or for emissions of other greenhouse gases. Our data is therefore not comparable to official national emissions data.</t>
  </si>
  <si>
    <t xml:space="preserve"> The table is compiled on the basis of carbon content:</t>
  </si>
  <si>
    <t xml:space="preserve"> oil - 73,300 kg CO2 per TJ (3.07 tonnes per tonne of oil equivalent);</t>
  </si>
  <si>
    <t xml:space="preserve"> natural gas - 56,100 kg CO2 per TJ (2.35 tonnes per tonne of oil equivalent);</t>
  </si>
  <si>
    <t xml:space="preserve"> coal - 94,600 kg CO2 per TJ (3.96 tonnes per tonne of oil equivalent).</t>
  </si>
  <si>
    <r>
      <t xml:space="preserve"> </t>
    </r>
    <r>
      <rPr>
        <b/>
        <sz val="8"/>
        <rFont val="Arial"/>
        <family val="2"/>
      </rPr>
      <t>Notes:</t>
    </r>
    <r>
      <rPr>
        <sz val="8"/>
        <rFont val="Arial"/>
        <family val="2"/>
      </rPr>
      <t xml:space="preserve"> * The carbon emissions above reflect only those through consumption of oil, gas and coal, and are based on standard global</t>
    </r>
  </si>
  <si>
    <t>Target</t>
  </si>
  <si>
    <t>2050 target</t>
  </si>
  <si>
    <t>Tonnes</t>
  </si>
  <si>
    <t>Region/Country</t>
  </si>
  <si>
    <t>Giga</t>
  </si>
  <si>
    <t>per</t>
  </si>
  <si>
    <t>tonnes</t>
  </si>
  <si>
    <t>European Union</t>
  </si>
  <si>
    <t>S. &amp; America</t>
  </si>
  <si>
    <t>Table: Total Carbon Dioxide Emissions from the Consumption of Energy (Million Metric Tons)</t>
  </si>
  <si>
    <t>Table: Population (Millions)</t>
  </si>
  <si>
    <t>Saint Pierre and Miquelon</t>
  </si>
  <si>
    <t>Central &amp; South America</t>
  </si>
  <si>
    <t>Saint Lucia</t>
  </si>
  <si>
    <t>Europe</t>
  </si>
  <si>
    <t>--</t>
  </si>
  <si>
    <t>Former Yugoslavia</t>
  </si>
  <si>
    <t>Gibraltar</t>
  </si>
  <si>
    <t>Macedonia</t>
  </si>
  <si>
    <t>Montenegro</t>
  </si>
  <si>
    <t>Serbia</t>
  </si>
  <si>
    <t>Eurasia</t>
  </si>
  <si>
    <t>Former U.S.S.R.</t>
  </si>
  <si>
    <t>Congo (Brazzaville)</t>
  </si>
  <si>
    <t>Congo (Kinshasa)</t>
  </si>
  <si>
    <t>Sao Tome and Principe</t>
  </si>
  <si>
    <t>Asia &amp; Oceania</t>
  </si>
  <si>
    <t>American Samoa</t>
  </si>
  <si>
    <t>Brunei</t>
  </si>
  <si>
    <t>Laos</t>
  </si>
  <si>
    <t>Timor-Leste (East Timor)</t>
  </si>
  <si>
    <t>http://www.eia.gov/cfapps/ipdbproject/IEDIndex3.cfm?tid=90&amp;pid=44&amp;aid=8</t>
  </si>
  <si>
    <t>Bermuda</t>
  </si>
  <si>
    <t>Greenland</t>
  </si>
  <si>
    <t>Antarctica</t>
  </si>
  <si>
    <t>Aruba</t>
  </si>
  <si>
    <t>Cayman Islands</t>
  </si>
  <si>
    <t>Falkland Islands (Islas Malvinas)</t>
  </si>
  <si>
    <t>French Guiana</t>
  </si>
  <si>
    <t>Guadeloupe</t>
  </si>
  <si>
    <t>Martinique</t>
  </si>
  <si>
    <t>Montserrat</t>
  </si>
  <si>
    <t>Puerto Rico</t>
  </si>
  <si>
    <t>Saint Vincent/Grenadines</t>
  </si>
  <si>
    <t>Turks and Caicos Islands</t>
  </si>
  <si>
    <t>Virgin Islands,  U.S.</t>
  </si>
  <si>
    <t>Virgin Islands, British</t>
  </si>
  <si>
    <t>Faroe Islands</t>
  </si>
  <si>
    <t>Palestine</t>
  </si>
  <si>
    <t>Reunion</t>
  </si>
  <si>
    <t>Saint Helena</t>
  </si>
  <si>
    <t>Sudan and South Sudan</t>
  </si>
  <si>
    <t>Western Sahara</t>
  </si>
  <si>
    <t>French Polynesia</t>
  </si>
  <si>
    <t>Guam</t>
  </si>
  <si>
    <t>Hawaiian Trade Zone</t>
  </si>
  <si>
    <t>Macau</t>
  </si>
  <si>
    <t>New Caledonia</t>
  </si>
  <si>
    <t>U.S. Pacific Islands</t>
  </si>
  <si>
    <t>Wake Island</t>
  </si>
  <si>
    <t>NA</t>
  </si>
  <si>
    <t>Cote dIvoire</t>
  </si>
  <si>
    <t>Germany*</t>
  </si>
  <si>
    <t>2011 $</t>
  </si>
  <si>
    <r>
      <t>10</t>
    </r>
    <r>
      <rPr>
        <b/>
        <vertAlign val="superscript"/>
        <sz val="12"/>
        <rFont val="Times New Roman"/>
        <family val="1"/>
      </rPr>
      <t>9</t>
    </r>
    <r>
      <rPr>
        <b/>
        <sz val="12"/>
        <rFont val="Times New Roman"/>
        <family val="1"/>
      </rPr>
      <t xml:space="preserve"> </t>
    </r>
    <r>
      <rPr>
        <b/>
        <sz val="12"/>
        <color theme="0"/>
        <rFont val="Times New Roman"/>
        <family val="1"/>
      </rPr>
      <t>b</t>
    </r>
  </si>
  <si>
    <r>
      <t>10</t>
    </r>
    <r>
      <rPr>
        <b/>
        <vertAlign val="superscript"/>
        <sz val="12"/>
        <rFont val="Times New Roman"/>
        <family val="1"/>
      </rPr>
      <t>6</t>
    </r>
    <r>
      <rPr>
        <b/>
        <sz val="12"/>
        <color theme="0"/>
        <rFont val="Times New Roman"/>
        <family val="1"/>
      </rPr>
      <t xml:space="preserve"> P</t>
    </r>
  </si>
  <si>
    <t/>
  </si>
  <si>
    <r>
      <t>CO</t>
    </r>
    <r>
      <rPr>
        <b/>
        <vertAlign val="subscript"/>
        <sz val="12"/>
        <rFont val="Times New Roman"/>
        <family val="1"/>
      </rPr>
      <t>2</t>
    </r>
  </si>
  <si>
    <t>Table: Carbon Intensity using Market Exchange Rates (Metric Tons of Carbon Dioxide per Thousand Year 2005 U.S. Dollars)</t>
  </si>
  <si>
    <t>Fred</t>
  </si>
  <si>
    <t>2005 to 2011</t>
  </si>
  <si>
    <t>Table (pdf): Total Carbon Dioxide, GDP and Population for Regions and Selected Countries</t>
  </si>
  <si>
    <t>Table (doc): Total Carbon Dioxide, GDP and Population for Regions and Selected Countries</t>
  </si>
  <si>
    <t>GDP / Capita</t>
  </si>
  <si>
    <t>CE / Capita</t>
  </si>
  <si>
    <t>G20</t>
  </si>
  <si>
    <t xml:space="preserve">Argentina </t>
  </si>
  <si>
    <t xml:space="preserve">Australia </t>
  </si>
  <si>
    <t xml:space="preserve">Brazil </t>
  </si>
  <si>
    <t xml:space="preserve">Canada </t>
  </si>
  <si>
    <t xml:space="preserve">China </t>
  </si>
  <si>
    <t xml:space="preserve">France </t>
  </si>
  <si>
    <t xml:space="preserve">Germany </t>
  </si>
  <si>
    <t xml:space="preserve">India </t>
  </si>
  <si>
    <t xml:space="preserve">Indonesia </t>
  </si>
  <si>
    <t xml:space="preserve">Italy </t>
  </si>
  <si>
    <t xml:space="preserve">Japan </t>
  </si>
  <si>
    <t xml:space="preserve">Mexico </t>
  </si>
  <si>
    <t xml:space="preserve">Russia </t>
  </si>
  <si>
    <t xml:space="preserve">Saudi Arabia </t>
  </si>
  <si>
    <t xml:space="preserve">South Africa </t>
  </si>
  <si>
    <t xml:space="preserve">South Korea </t>
  </si>
  <si>
    <t xml:space="preserve">Turkey </t>
  </si>
  <si>
    <t xml:space="preserve">United Kingdom </t>
  </si>
  <si>
    <t>Notes: mmt = millions of metric tonnes, CE = carbon emissions,</t>
  </si>
  <si>
    <t>A1</t>
  </si>
  <si>
    <t>A2</t>
  </si>
  <si>
    <t>-</t>
  </si>
  <si>
    <t>Kyoto</t>
  </si>
  <si>
    <t>target</t>
  </si>
  <si>
    <t>GHG</t>
  </si>
  <si>
    <t>emissions</t>
  </si>
  <si>
    <t>1990-2008</t>
  </si>
  <si>
    <t>including</t>
  </si>
  <si>
    <t>excluding</t>
  </si>
  <si>
    <t>from fuel</t>
  </si>
  <si>
    <t>combustion</t>
  </si>
  <si>
    <t>only</t>
  </si>
  <si>
    <t>1990-2009</t>
  </si>
  <si>
    <t>Participant</t>
  </si>
  <si>
    <t>Signature</t>
  </si>
  <si>
    <t>Ratification</t>
  </si>
  <si>
    <t>Acceptance (A)</t>
  </si>
  <si>
    <t>Accession (a)</t>
  </si>
  <si>
    <t>Approval (AA)</t>
  </si>
  <si>
    <t>Entry into force</t>
  </si>
  <si>
    <t>% of emissions</t>
  </si>
  <si>
    <t>ALBANIA</t>
  </si>
  <si>
    <t>  1 Apr 2005 a</t>
  </si>
  <si>
    <t>ALGERIA</t>
  </si>
  <si>
    <t>16 Feb 2005 a</t>
  </si>
  <si>
    <t>ANGOLA</t>
  </si>
  <si>
    <t>  8 May 2007 a</t>
  </si>
  <si>
    <t>  6 Aug 2007</t>
  </si>
  <si>
    <t>ANTIGUA AND BARBUDA</t>
  </si>
  <si>
    <t>  3 Nov 1998</t>
  </si>
  <si>
    <t>ARGENTINA</t>
  </si>
  <si>
    <t>ARMENIA</t>
  </si>
  <si>
    <t>25 Apr 2003 a</t>
  </si>
  <si>
    <t>AUSTRALIA*</t>
  </si>
  <si>
    <t>AUSTRIA*</t>
  </si>
  <si>
    <t>AZERBAIJAN</t>
  </si>
  <si>
    <t>28 Sep 2000 a</t>
  </si>
  <si>
    <t>BAHAMAS</t>
  </si>
  <si>
    <t>  9 Apr 1999 a</t>
  </si>
  <si>
    <t>BAHRAIN</t>
  </si>
  <si>
    <t>31 Jan 2006 a</t>
  </si>
  <si>
    <t>  1 May 2006</t>
  </si>
  <si>
    <t>BANGLADESH</t>
  </si>
  <si>
    <t>22 Oct 2001 a</t>
  </si>
  <si>
    <t>BARBADOS</t>
  </si>
  <si>
    <t>  7 Aug 2000 a</t>
  </si>
  <si>
    <t>BELARUS*</t>
  </si>
  <si>
    <t>26 Aug 2005 a</t>
  </si>
  <si>
    <t>BELGIUM*</t>
  </si>
  <si>
    <t>BELIZE</t>
  </si>
  <si>
    <t>26 Sep 2003 a</t>
  </si>
  <si>
    <t>BENIN</t>
  </si>
  <si>
    <t>25 Feb 2002 a</t>
  </si>
  <si>
    <t>BHUTAN</t>
  </si>
  <si>
    <t>26 Aug 2002 a</t>
  </si>
  <si>
    <t>BOLIVIA</t>
  </si>
  <si>
    <t>BOSNIA AND HERZEGOVINA</t>
  </si>
  <si>
    <t>16 Apr 2007 a</t>
  </si>
  <si>
    <t>BOTSWANA</t>
  </si>
  <si>
    <t>  8 Aug 2003 a</t>
  </si>
  <si>
    <t>BRAZIL</t>
  </si>
  <si>
    <t>BRUNEI DARUSSALAM</t>
  </si>
  <si>
    <t>20 Aug 2009 a</t>
  </si>
  <si>
    <t>BULGARIA*</t>
  </si>
  <si>
    <t>BURKINA FASO</t>
  </si>
  <si>
    <t>31 Mar 2005 a</t>
  </si>
  <si>
    <t>BURUNDI</t>
  </si>
  <si>
    <t>18 Oct 2001 a</t>
  </si>
  <si>
    <t>CAMBODIA</t>
  </si>
  <si>
    <t>22 Aug 2002 a</t>
  </si>
  <si>
    <t>CAMEROON</t>
  </si>
  <si>
    <t>28 Aug 2002 a</t>
  </si>
  <si>
    <t>CANADA*</t>
  </si>
  <si>
    <t>[15 Dec 2012 w]</t>
  </si>
  <si>
    <t>CAPE VERDE</t>
  </si>
  <si>
    <t>10 Feb 2006 a</t>
  </si>
  <si>
    <t>CENTRAL AFRICAN REPUBLIC</t>
  </si>
  <si>
    <t>18 Mar 2008 a</t>
  </si>
  <si>
    <t>CHAD</t>
  </si>
  <si>
    <t>18 Aug 2009 a</t>
  </si>
  <si>
    <t>CHILE</t>
  </si>
  <si>
    <t>CHINA</t>
  </si>
  <si>
    <t>COLOMBIA</t>
  </si>
  <si>
    <t>30 Nov 2001 a</t>
  </si>
  <si>
    <t>COMOROS</t>
  </si>
  <si>
    <t>10 Apr 2008 a</t>
  </si>
  <si>
    <t>  9 Jul 2008</t>
  </si>
  <si>
    <t>CONGO</t>
  </si>
  <si>
    <t>12 Feb 2007 a</t>
  </si>
  <si>
    <t>COOK ISLANDS</t>
  </si>
  <si>
    <t>COSTA RICA</t>
  </si>
  <si>
    <t>  9 Aug 2002</t>
  </si>
  <si>
    <t>COTE D'IVOIRE</t>
  </si>
  <si>
    <t>23 Apr 2007 a</t>
  </si>
  <si>
    <t>CROATIA*</t>
  </si>
  <si>
    <t>CUBA</t>
  </si>
  <si>
    <t>CYPRUS</t>
  </si>
  <si>
    <t>16 Jul 1999 a</t>
  </si>
  <si>
    <t>CZECH REPUBLIC*</t>
  </si>
  <si>
    <t>15 Nov 2001 AA</t>
  </si>
  <si>
    <t>DEMOCRATIC PEOPLE'S REPUBLIC OF KOREA</t>
  </si>
  <si>
    <t>27 Apr 2005 a</t>
  </si>
  <si>
    <t>DEMOCRATIC REPUBLIC OF CONGO</t>
  </si>
  <si>
    <t>23 Mar 2005 a</t>
  </si>
  <si>
    <t>DENMARK*</t>
  </si>
  <si>
    <t>DJIBOUTI</t>
  </si>
  <si>
    <t>12 Mar 2002 a</t>
  </si>
  <si>
    <t>DOMINICA</t>
  </si>
  <si>
    <t>25 Jan 2005 a</t>
  </si>
  <si>
    <t>DOMINICAN REPUBLIC</t>
  </si>
  <si>
    <t>12 Feb 2002 a</t>
  </si>
  <si>
    <t>ECUADOR</t>
  </si>
  <si>
    <t>EGYPT</t>
  </si>
  <si>
    <t>EL SALVADOR</t>
  </si>
  <si>
    <t>EQUATORIAL GUINEA</t>
  </si>
  <si>
    <t>16 Aug 2000 a</t>
  </si>
  <si>
    <t>ERITREA</t>
  </si>
  <si>
    <t>28 Jul 2005 a</t>
  </si>
  <si>
    <t>ESTONIA*</t>
  </si>
  <si>
    <t>ETHIOPIA</t>
  </si>
  <si>
    <t>14 Apr 2005 a</t>
  </si>
  <si>
    <t>EUROPEAN UNION*</t>
  </si>
  <si>
    <t>31 May 2002 AA</t>
  </si>
  <si>
    <t>FIJI</t>
  </si>
  <si>
    <t>17 Sep 1998         </t>
  </si>
  <si>
    <t>FINLAND*</t>
  </si>
  <si>
    <t>FRANCE*</t>
  </si>
  <si>
    <t>GABON</t>
  </si>
  <si>
    <t>12 Dec 2006 a</t>
  </si>
  <si>
    <t>GAMBIA</t>
  </si>
  <si>
    <t>  1 Jun 2001 a</t>
  </si>
  <si>
    <t>GEORGIA</t>
  </si>
  <si>
    <t>16 Jun 1999 a</t>
  </si>
  <si>
    <t>GERMANY*</t>
  </si>
  <si>
    <t>GHANA</t>
  </si>
  <si>
    <t>30 May 2003 a</t>
  </si>
  <si>
    <t>GREECE*</t>
  </si>
  <si>
    <t>GRENADA</t>
  </si>
  <si>
    <t>  6 Aug 2002 a</t>
  </si>
  <si>
    <t>GUATEMALA</t>
  </si>
  <si>
    <t>  5 Oct 1999</t>
  </si>
  <si>
    <t>GUINEA</t>
  </si>
  <si>
    <t>  7 Sep 2000 a</t>
  </si>
  <si>
    <t>GUINEA-BISSAU</t>
  </si>
  <si>
    <t>18 Nov 2005 a</t>
  </si>
  <si>
    <t>GUYANA</t>
  </si>
  <si>
    <t>  5 Aug 2003 a</t>
  </si>
  <si>
    <t>HAITI</t>
  </si>
  <si>
    <t>  6 Jul 2005 a</t>
  </si>
  <si>
    <t>  4 Oct 2005</t>
  </si>
  <si>
    <t>HONDURAS</t>
  </si>
  <si>
    <t>HUNGARY*</t>
  </si>
  <si>
    <t>21 Aug 2002 a</t>
  </si>
  <si>
    <t>ICELAND*</t>
  </si>
  <si>
    <t>23 May 2002 a</t>
  </si>
  <si>
    <t>INDIA</t>
  </si>
  <si>
    <t>INDONESIA</t>
  </si>
  <si>
    <t>  3 Dec 2004</t>
  </si>
  <si>
    <t>  3 Mar 2005</t>
  </si>
  <si>
    <t>IRAN (ISLAMIC REPUBLIC OF)</t>
  </si>
  <si>
    <t>22 Aug 2005 a</t>
  </si>
  <si>
    <t>IRAQ</t>
  </si>
  <si>
    <t>28 Jul 2009 a</t>
  </si>
  <si>
    <t>IRELAND*</t>
  </si>
  <si>
    <t>ISRAEL</t>
  </si>
  <si>
    <t>ITALY*</t>
  </si>
  <si>
    <t>JAMAICA</t>
  </si>
  <si>
    <t>28 Jun 1999 a</t>
  </si>
  <si>
    <t>JAPAN*</t>
  </si>
  <si>
    <t>  4 Jun 2002 A</t>
  </si>
  <si>
    <t>JORDAN</t>
  </si>
  <si>
    <t>17 Jan 2003 a</t>
  </si>
  <si>
    <t>KAZAKHSTAN**</t>
  </si>
  <si>
    <t>KENYA</t>
  </si>
  <si>
    <t>25 Feb 2005 a</t>
  </si>
  <si>
    <t>KIRIBATI</t>
  </si>
  <si>
    <t>KUWAIT</t>
  </si>
  <si>
    <t>11 Mar 2005 a</t>
  </si>
  <si>
    <t>  9 Jun 2005</t>
  </si>
  <si>
    <t>KYRGYZSTAN</t>
  </si>
  <si>
    <t>13 May 2003 a</t>
  </si>
  <si>
    <t>LAO PEOPLE'S DEMOCRATIC REPUBLIC</t>
  </si>
  <si>
    <t>  6 Feb 2003 a</t>
  </si>
  <si>
    <t>LATVIA*</t>
  </si>
  <si>
    <t>  5 Jul 2002</t>
  </si>
  <si>
    <t>LEBANON</t>
  </si>
  <si>
    <t>13 Nov 2006 a</t>
  </si>
  <si>
    <t>LESOTHO</t>
  </si>
  <si>
    <t>  6 Sep 2000 a</t>
  </si>
  <si>
    <t>LIBERIA</t>
  </si>
  <si>
    <t>  5 Nov 2002 a</t>
  </si>
  <si>
    <t>LIBYAN ARAB JAMAHIRIYA</t>
  </si>
  <si>
    <t>24 Aug 2006 a</t>
  </si>
  <si>
    <t>LIECHTENSTEIN*</t>
  </si>
  <si>
    <t>LITHUANIA*</t>
  </si>
  <si>
    <t>  3 Jan 2003</t>
  </si>
  <si>
    <t>LUXEMBOURG*</t>
  </si>
  <si>
    <t>MADAGASCAR</t>
  </si>
  <si>
    <t>24 Sep 2003 a</t>
  </si>
  <si>
    <t>MALAWI</t>
  </si>
  <si>
    <t>26 Oct 2001 a</t>
  </si>
  <si>
    <t>MALAYSIA</t>
  </si>
  <si>
    <t>  4 Sep 2002</t>
  </si>
  <si>
    <t>MALDIVES</t>
  </si>
  <si>
    <t>MALI</t>
  </si>
  <si>
    <t>MALTA*</t>
  </si>
  <si>
    <t>MARSHALL ISLANDS</t>
  </si>
  <si>
    <t>MAURITANIA</t>
  </si>
  <si>
    <t>22 Jul 2005 a</t>
  </si>
  <si>
    <t>MAURITIUS</t>
  </si>
  <si>
    <t>  9 May 2001 a</t>
  </si>
  <si>
    <t>MEXICO</t>
  </si>
  <si>
    <t>  9 Jun 1998</t>
  </si>
  <si>
    <t>  7 Sep 2000</t>
  </si>
  <si>
    <t>MICRONESIA (FEDERATED STATES OF)</t>
  </si>
  <si>
    <t>MONACO*</t>
  </si>
  <si>
    <t>MONGOLIA</t>
  </si>
  <si>
    <t>15 Dec 1999 a</t>
  </si>
  <si>
    <t>MONTENEGRO</t>
  </si>
  <si>
    <t>  4 Jun 2007 a</t>
  </si>
  <si>
    <t>  2 Sep 2007</t>
  </si>
  <si>
    <t>MOROCCO</t>
  </si>
  <si>
    <t>25 Jan 2002 a</t>
  </si>
  <si>
    <t>MOZAMBIQUE</t>
  </si>
  <si>
    <t>18 Jan 2005 a</t>
  </si>
  <si>
    <t>MYANMAR</t>
  </si>
  <si>
    <t>13 Aug 2003 a</t>
  </si>
  <si>
    <t>NAMIBIA</t>
  </si>
  <si>
    <t>  4 Sep 2003 a</t>
  </si>
  <si>
    <t>NAURU</t>
  </si>
  <si>
    <t>16 Aug 2001 a</t>
  </si>
  <si>
    <t>NEPAL</t>
  </si>
  <si>
    <t>16 Sep 2005 a</t>
  </si>
  <si>
    <t>NETHERLANDS*</t>
  </si>
  <si>
    <t>NEW ZEALAND*</t>
  </si>
  <si>
    <t>NICARAGUA</t>
  </si>
  <si>
    <t>  7 Jul 1998</t>
  </si>
  <si>
    <t>NIGER</t>
  </si>
  <si>
    <t>NIGERIA</t>
  </si>
  <si>
    <t>10 Dec 2004 a</t>
  </si>
  <si>
    <t>NIUE</t>
  </si>
  <si>
    <t>  8 Dec 1998</t>
  </si>
  <si>
    <t>  6 May 1999</t>
  </si>
  <si>
    <t>NORWAY*</t>
  </si>
  <si>
    <t>OMAN</t>
  </si>
  <si>
    <t>19 Jan 2005 a</t>
  </si>
  <si>
    <t>PAKISTAN</t>
  </si>
  <si>
    <t>11 Jan 2005 a</t>
  </si>
  <si>
    <t>PALAU</t>
  </si>
  <si>
    <t>10 Dec 1999 a</t>
  </si>
  <si>
    <t>PANAMA</t>
  </si>
  <si>
    <t>  8 Jun 1998</t>
  </si>
  <si>
    <t>  5 Mar 1999</t>
  </si>
  <si>
    <t>PAPUA NEW GUINEA</t>
  </si>
  <si>
    <t>  2 Mar 1999</t>
  </si>
  <si>
    <t>PARAGUAY</t>
  </si>
  <si>
    <t>PERU</t>
  </si>
  <si>
    <t>PHILIPPINES</t>
  </si>
  <si>
    <t>POLAND*</t>
  </si>
  <si>
    <t>PORTUGAL*</t>
  </si>
  <si>
    <t>QATAR</t>
  </si>
  <si>
    <t>REPUBLIC OF KOREA</t>
  </si>
  <si>
    <t>  8 Nov 2002</t>
  </si>
  <si>
    <t>REPUBLIC OF MOLDOVA</t>
  </si>
  <si>
    <t>22 Apr 2003 a</t>
  </si>
  <si>
    <t>ROMANIA*</t>
  </si>
  <si>
    <t>  5 Jan 1999</t>
  </si>
  <si>
    <t>RUSSIAN FEDERATION*</t>
  </si>
  <si>
    <t>RWANDA</t>
  </si>
  <si>
    <t>22 Jul 2004 a</t>
  </si>
  <si>
    <t>SAINT KITTS AND NEVIS</t>
  </si>
  <si>
    <t>  8 Apr 2008 a</t>
  </si>
  <si>
    <t>  7 Jul 2008</t>
  </si>
  <si>
    <t>SAINT LUCIA</t>
  </si>
  <si>
    <t>SAINT VINCENT AND THE GRENADINES</t>
  </si>
  <si>
    <t>SAMOA</t>
  </si>
  <si>
    <t>SAN MARINO</t>
  </si>
  <si>
    <t>SAO TOME AND PRINCIPE</t>
  </si>
  <si>
    <t>25 Apr 2008 a</t>
  </si>
  <si>
    <t>SAUDI ARABIA</t>
  </si>
  <si>
    <t>31 Jan 2005 a</t>
  </si>
  <si>
    <t>  1 May 2005</t>
  </si>
  <si>
    <t>SENEGAL</t>
  </si>
  <si>
    <t>20 Jul 2001 a</t>
  </si>
  <si>
    <t>SERBIA</t>
  </si>
  <si>
    <t>19 Oct 2007 a</t>
  </si>
  <si>
    <t>SEYCHELLES</t>
  </si>
  <si>
    <t>SIERRA LEONE</t>
  </si>
  <si>
    <t>10 Nov 2006 a</t>
  </si>
  <si>
    <t>SINGAPORE</t>
  </si>
  <si>
    <t>12 Apr 2006 a</t>
  </si>
  <si>
    <t>SLOVAKIA*</t>
  </si>
  <si>
    <t>SLOVENIA*</t>
  </si>
  <si>
    <t>  2 Aug 2002</t>
  </si>
  <si>
    <t>SOLOMON ISLANDS</t>
  </si>
  <si>
    <t>SOMALIA</t>
  </si>
  <si>
    <t>SOUTH AFRICA</t>
  </si>
  <si>
    <t>31 Jul 2002 a</t>
  </si>
  <si>
    <t>SPAIN*</t>
  </si>
  <si>
    <t>SRI LANKA</t>
  </si>
  <si>
    <t>  3 Sep 2002 a</t>
  </si>
  <si>
    <t>SUDAN</t>
  </si>
  <si>
    <t>  2 Nov 2004 a</t>
  </si>
  <si>
    <t>SURINAME</t>
  </si>
  <si>
    <t>25 Sep 2006 a</t>
  </si>
  <si>
    <t>SWAZILAND</t>
  </si>
  <si>
    <t>13 Jan 2006 a</t>
  </si>
  <si>
    <t>SWEDEN*</t>
  </si>
  <si>
    <t>SWITZERLAND*</t>
  </si>
  <si>
    <t>  9 Jul 2003</t>
  </si>
  <si>
    <t>SYRIAN ARAB REPUBLIC</t>
  </si>
  <si>
    <t>27 Jan 2006 a</t>
  </si>
  <si>
    <t>TAJIKISTAN</t>
  </si>
  <si>
    <t>29 Dec 2008 a</t>
  </si>
  <si>
    <t>THAILAND</t>
  </si>
  <si>
    <t>  2 Feb 1999</t>
  </si>
  <si>
    <t>THE FORMER YUGOSLAV REPUBLIC OF MACEDONIA</t>
  </si>
  <si>
    <t>18 Nov 2004 a</t>
  </si>
  <si>
    <t>TIMOR-LESTE</t>
  </si>
  <si>
    <t>14 Oct 2008 a</t>
  </si>
  <si>
    <t>TOGO</t>
  </si>
  <si>
    <t>  2 Jul 2004 a</t>
  </si>
  <si>
    <t>TONGA</t>
  </si>
  <si>
    <t>14 Jan 2008 a</t>
  </si>
  <si>
    <t>TRINIDAD AND TOBAGO</t>
  </si>
  <si>
    <t>  7 Jan 1999</t>
  </si>
  <si>
    <t>TUNISIA</t>
  </si>
  <si>
    <t>22 Jan 2003 a</t>
  </si>
  <si>
    <t>TURKEY*</t>
  </si>
  <si>
    <t>28 May 2009 a</t>
  </si>
  <si>
    <t>TURKMENISTAN</t>
  </si>
  <si>
    <t>TUVALU</t>
  </si>
  <si>
    <t>UGANDA</t>
  </si>
  <si>
    <t>25 Mar 2002 a</t>
  </si>
  <si>
    <t>UKRAINE*</t>
  </si>
  <si>
    <t>UNITED ARAB EMIRATES</t>
  </si>
  <si>
    <t>26 Jan 2005 a</t>
  </si>
  <si>
    <t>UNITED KINGDOM OF GREAT BRITAIN AND NORTHERN IRELAND*</t>
  </si>
  <si>
    <t>UNITED REPUBLIC OF TANZANIA</t>
  </si>
  <si>
    <t>UNITED STATES OF AMERICA*</t>
  </si>
  <si>
    <t>URUGUAY</t>
  </si>
  <si>
    <t>  5 Feb 2001</t>
  </si>
  <si>
    <t>UZBEKISTAN</t>
  </si>
  <si>
    <t>VANUATU</t>
  </si>
  <si>
    <t>17 Jul 2001 a</t>
  </si>
  <si>
    <t>VENEZUELA</t>
  </si>
  <si>
    <t>18 Feb 2005 a</t>
  </si>
  <si>
    <t>VIET NAM</t>
  </si>
  <si>
    <t>  3 Dec 1998</t>
  </si>
  <si>
    <t>YEMEN</t>
  </si>
  <si>
    <t>15 Sep 2004 a</t>
  </si>
  <si>
    <t>ZAMBIA</t>
  </si>
  <si>
    <t>  5 Aug 1998</t>
  </si>
  <si>
    <t>  7 Jul 2006</t>
  </si>
  <si>
    <t>  5 Oct 2006</t>
  </si>
  <si>
    <t>ZIMBABWE</t>
  </si>
  <si>
    <t>30 Jun 2009 a</t>
  </si>
  <si>
    <t>http://unfccc.int/kyoto_protocol/status_of_ratification/items/2613.php</t>
  </si>
  <si>
    <r>
      <t>CO</t>
    </r>
    <r>
      <rPr>
        <b/>
        <vertAlign val="subscript"/>
        <sz val="12"/>
        <color rgb="FF000000"/>
        <rFont val="Times New Roman"/>
        <family val="1"/>
        <scheme val="minor"/>
      </rPr>
      <t>2</t>
    </r>
  </si>
  <si>
    <r>
      <t>30 Aug 2002 AA </t>
    </r>
    <r>
      <rPr>
        <b/>
        <i/>
        <sz val="12"/>
        <color rgb="FF666666"/>
        <rFont val="Times New Roman"/>
        <family val="1"/>
        <scheme val="minor"/>
      </rPr>
      <t>(2)</t>
    </r>
  </si>
  <si>
    <r>
      <t>31 May 2002</t>
    </r>
    <r>
      <rPr>
        <b/>
        <i/>
        <sz val="12"/>
        <color rgb="FF666666"/>
        <rFont val="Times New Roman"/>
        <family val="1"/>
        <scheme val="minor"/>
      </rPr>
      <t>(3)</t>
    </r>
  </si>
  <si>
    <r>
      <t>31 May 2002 A </t>
    </r>
    <r>
      <rPr>
        <b/>
        <i/>
        <sz val="12"/>
        <color rgb="FF666666"/>
        <rFont val="Times New Roman"/>
        <family val="1"/>
        <scheme val="minor"/>
      </rPr>
      <t>(4)</t>
    </r>
  </si>
  <si>
    <r>
      <t>19 Dec 2002 </t>
    </r>
    <r>
      <rPr>
        <b/>
        <i/>
        <sz val="12"/>
        <color rgb="FF666666"/>
        <rFont val="Times New Roman"/>
        <family val="1"/>
        <scheme val="minor"/>
      </rPr>
      <t>(5)</t>
    </r>
  </si>
  <si>
    <r>
      <t>31 May 2002</t>
    </r>
    <r>
      <rPr>
        <b/>
        <i/>
        <sz val="12"/>
        <color rgb="FF666666"/>
        <rFont val="Times New Roman"/>
        <family val="1"/>
        <scheme val="minor"/>
      </rPr>
      <t>(6) (7)</t>
    </r>
  </si>
  <si>
    <t>Economies in Transition</t>
  </si>
  <si>
    <t>Avg85-87</t>
  </si>
  <si>
    <t>Russian Fed</t>
  </si>
  <si>
    <t>Slovak Rep.</t>
  </si>
  <si>
    <t>Czech Rep.</t>
  </si>
  <si>
    <t>U.K.</t>
  </si>
  <si>
    <t>LULUCF</t>
  </si>
  <si>
    <t xml:space="preserve">Country/ </t>
  </si>
  <si>
    <t>region</t>
  </si>
  <si>
    <t>Asia Oceania</t>
  </si>
  <si>
    <t>2012-07-11</t>
  </si>
  <si>
    <t>2012-03-22</t>
  </si>
  <si>
    <t>2012-01-27</t>
  </si>
  <si>
    <t>2012-04-25</t>
  </si>
  <si>
    <t>2012-06-15</t>
  </si>
  <si>
    <t>2012-04-10</t>
  </si>
  <si>
    <t>2012-08-24</t>
  </si>
  <si>
    <t>2012-03-19</t>
  </si>
  <si>
    <t>2012-08-14</t>
  </si>
  <si>
    <t>2011-11-18</t>
  </si>
  <si>
    <t>2012-06-06</t>
  </si>
  <si>
    <t>2012-04-30</t>
  </si>
  <si>
    <t>2012-04-18</t>
  </si>
  <si>
    <t>2012-08-29</t>
  </si>
  <si>
    <t>2012-01-05</t>
  </si>
  <si>
    <t>2012-04-05</t>
  </si>
  <si>
    <t>EU</t>
  </si>
  <si>
    <t>ZAf</t>
  </si>
  <si>
    <t>Mlt</t>
  </si>
  <si>
    <t>Sle</t>
  </si>
  <si>
    <t>Euro</t>
  </si>
  <si>
    <t>Joined</t>
  </si>
  <si>
    <t>Code</t>
  </si>
  <si>
    <t>Table 6. Initial assigned amount of Annex I Parties</t>
  </si>
  <si>
    <t>Australiaa</t>
  </si>
  <si>
    <t>Croatiaa</t>
  </si>
  <si>
    <t>European Community</t>
  </si>
  <si>
    <t>Tonnes of carbon</t>
  </si>
  <si>
    <t>Annex I Party dioxide equivalent</t>
  </si>
  <si>
    <t>2010 change</t>
  </si>
  <si>
    <t>Bel</t>
  </si>
  <si>
    <t>Base</t>
  </si>
  <si>
    <t>http://unfccc.int/ghg_data/ghg_data_unfccc/items/4146.php</t>
  </si>
  <si>
    <t>exclude</t>
  </si>
  <si>
    <t>Total GHG Emissions (CO2, CH4, N2O, HFCs, PFCs, SF6) in 1990, 2000, 2005 and 2008</t>
  </si>
  <si>
    <t>conform UNFCCC excluding short-cycle biomass burning (such as agricultural waste burning and Savannah burning) but including other biomass burning (such as forest fires, post-burn decay, peat fires and decay of drained peatlands), and calculated with the GWP100 metric of UNFCCC (IPCC, 1996).</t>
  </si>
  <si>
    <t>Source: European Commission, Joint Research Centre (JRC)/PBL Netherlands Environmental Assessment Agency. Emission Database for Global Atmospheric Research (EDGAR), release version 4.2. http://edgar.jrc.ec.europe.eu, 2011</t>
  </si>
  <si>
    <t>World Total</t>
  </si>
  <si>
    <t>Mt CO2eq</t>
  </si>
  <si>
    <t>% world total</t>
  </si>
  <si>
    <t>Bahamas</t>
  </si>
  <si>
    <t>British Virgin Islands</t>
  </si>
  <si>
    <t>Congo</t>
  </si>
  <si>
    <t>Congo's Democratic Republic</t>
  </si>
  <si>
    <t>Cote d'Ivoire</t>
  </si>
  <si>
    <t>European Union EU-27</t>
  </si>
  <si>
    <t>Falkland Islands</t>
  </si>
  <si>
    <t>International aviation </t>
  </si>
  <si>
    <t>International shipping </t>
  </si>
  <si>
    <t>Islamic Republic of Iran</t>
  </si>
  <si>
    <t>Laos' Peoples Republic</t>
  </si>
  <si>
    <t>Libyan Arab Jamahiriya</t>
  </si>
  <si>
    <t>Macao</t>
  </si>
  <si>
    <t>Micronesia</t>
  </si>
  <si>
    <t>Palestinian Territory</t>
  </si>
  <si>
    <t>Saint Vincent and the Grenadines</t>
  </si>
  <si>
    <t>Timor-Leste</t>
  </si>
  <si>
    <t>United Republic of Tanzania</t>
  </si>
  <si>
    <t>USA Virgin Islands</t>
  </si>
  <si>
    <t>Viet Nam</t>
  </si>
  <si>
    <t>http://edgar.jrc.ec.europa.eu/overview.php</t>
  </si>
  <si>
    <t>Report produced on Thursday, 27 September 2012 21:52:39 CEST</t>
  </si>
  <si>
    <t>Note 2: Base year data in the data interface relate to the base year under the Climate Change Convention (UNFCCC). The base year under the Convention is defined slightly different than the base year under the Kyoto Protocol. An exception is made for European Union (15) whereby the base year under the Kyoto Protocol is displayed.</t>
  </si>
  <si>
    <t>Note 1: The reporting and review requirements for GHG inventories are different for Annex I and non-Annex I Parties. The definition format of data for emissions/removals from the forestry sector is different for Annex I and non-Annex I Parties.</t>
  </si>
  <si>
    <t>Source: UNFCCC Data Interface</t>
  </si>
  <si>
    <t>Including LULUCF/LUCF</t>
  </si>
  <si>
    <t>GHG emissions exclude LULUCF/LUCF</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</si>
  <si>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</si>
  <si>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</si>
  <si>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</si>
  <si>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</si>
  <si>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</si>
  <si>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</si>
  <si>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</si>
  <si>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</si>
  <si>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</si>
  <si>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</si>
  <si>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</si>
  <si>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</si>
  <si>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</si>
  <si>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</si>
  <si>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</si>
  <si>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</si>
  <si>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</si>
  <si>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</si>
  <si>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</si>
  <si>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</si>
  <si>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</si>
  <si>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Base year</t>
  </si>
  <si>
    <t>Category</t>
  </si>
  <si>
    <t xml:space="preserve">Query results for Party: United States of America - Years: All years - Category: Totals - Gas: Aggregate GHGs </t>
  </si>
  <si>
    <t>Annual greenhouse gas (GHG) emissions for United States of America, in Gg CO2 equivalent</t>
  </si>
  <si>
    <t>a</t>
  </si>
  <si>
    <t>b</t>
  </si>
  <si>
    <t>c</t>
  </si>
  <si>
    <r>
      <t>10</t>
    </r>
    <r>
      <rPr>
        <b/>
        <vertAlign val="superscript"/>
        <sz val="12"/>
        <rFont val="Times New Roman"/>
        <family val="1"/>
      </rPr>
      <t>6</t>
    </r>
    <r>
      <rPr>
        <b/>
        <sz val="12"/>
        <rFont val="Times New Roman"/>
        <family val="1"/>
      </rPr>
      <t>t</t>
    </r>
  </si>
  <si>
    <r>
      <t>GDP/C</t>
    </r>
    <r>
      <rPr>
        <b/>
        <vertAlign val="subscript"/>
        <sz val="12"/>
        <rFont val="Times New Roman"/>
        <family val="1"/>
      </rPr>
      <t>p</t>
    </r>
  </si>
  <si>
    <r>
      <t>CE/C</t>
    </r>
    <r>
      <rPr>
        <b/>
        <vertAlign val="subscript"/>
        <sz val="12"/>
        <rFont val="Times New Roman"/>
        <family val="1"/>
      </rPr>
      <t>p</t>
    </r>
  </si>
  <si>
    <t>Q2</t>
  </si>
  <si>
    <t>Q!</t>
  </si>
  <si>
    <t>Q</t>
  </si>
  <si>
    <t>Largest Q</t>
  </si>
  <si>
    <t>vertAxes</t>
  </si>
  <si>
    <t>MC1=MC2</t>
  </si>
  <si>
    <t>Pollution =</t>
  </si>
  <si>
    <t>MC=Md</t>
  </si>
  <si>
    <t>Q1</t>
  </si>
  <si>
    <t>MB=MC</t>
  </si>
  <si>
    <t>E2</t>
  </si>
  <si>
    <t>E1</t>
  </si>
  <si>
    <t>MC</t>
  </si>
  <si>
    <t>E3</t>
  </si>
  <si>
    <t>C2</t>
  </si>
  <si>
    <t>C1</t>
  </si>
  <si>
    <t>C3</t>
  </si>
  <si>
    <t>Palestinian Territories</t>
  </si>
  <si>
    <t>Cote dIvoire (IvoryCoast)</t>
  </si>
  <si>
    <t>E/GDP</t>
  </si>
  <si>
    <t>Table 12.1 Carbon Dioxide, GDP and Population for Regions</t>
  </si>
  <si>
    <r>
      <t>10</t>
    </r>
    <r>
      <rPr>
        <b/>
        <vertAlign val="superscript"/>
        <sz val="12"/>
        <rFont val="Times New Roman"/>
        <family val="1"/>
      </rPr>
      <t xml:space="preserve">6 </t>
    </r>
    <r>
      <rPr>
        <b/>
        <sz val="12"/>
        <rFont val="Times New Roman"/>
        <family val="1"/>
      </rPr>
      <t>t</t>
    </r>
  </si>
  <si>
    <r>
      <t>10</t>
    </r>
    <r>
      <rPr>
        <b/>
        <vertAlign val="superscript"/>
        <sz val="12"/>
        <rFont val="Times New Roman"/>
        <family val="1"/>
      </rPr>
      <t>9</t>
    </r>
    <r>
      <rPr>
        <b/>
        <sz val="12"/>
        <rFont val="Times New Roman"/>
        <family val="1"/>
      </rPr>
      <t xml:space="preserve"> $</t>
    </r>
  </si>
  <si>
    <t>$</t>
  </si>
  <si>
    <t>N Amer</t>
  </si>
  <si>
    <t>U.S.</t>
  </si>
  <si>
    <t>C&amp;S Amer</t>
  </si>
  <si>
    <t>Trini&amp;Tobag</t>
  </si>
  <si>
    <t>Czech Rep</t>
  </si>
  <si>
    <t>UAE</t>
  </si>
  <si>
    <t>Congo Rep.</t>
  </si>
  <si>
    <t>Asia&amp;Ocean</t>
  </si>
  <si>
    <t>Korea, N</t>
  </si>
  <si>
    <t>Korea, S</t>
  </si>
  <si>
    <r>
      <t>Source</t>
    </r>
    <r>
      <rPr>
        <sz val="12"/>
        <rFont val="Times New Roman"/>
        <family val="1"/>
      </rPr>
      <t>: U.S. EIA 2013b.</t>
    </r>
  </si>
  <si>
    <r>
      <t>Notes: t 10</t>
    </r>
    <r>
      <rPr>
        <vertAlign val="superscript"/>
        <sz val="12"/>
        <rFont val="Times New Roman"/>
        <family val="1"/>
      </rPr>
      <t>6</t>
    </r>
    <r>
      <rPr>
        <sz val="12"/>
        <rFont val="Times New Roman"/>
        <family val="1"/>
      </rPr>
      <t>= millions of metric tonnes, Pop = population, Gdp/C</t>
    </r>
    <r>
      <rPr>
        <vertAlign val="subscript"/>
        <sz val="12"/>
        <rFont val="Times New Roman"/>
        <family val="1"/>
      </rPr>
      <t>p</t>
    </r>
    <r>
      <rPr>
        <sz val="12"/>
        <rFont val="Times New Roman"/>
        <family val="1"/>
      </rPr>
      <t>=GDP per capita, CE = carbon emissions, Amer = America, Ocean = Oceania, Trini&amp;Tobag = Trinidad and Tobago. GDP is converted to U.S.dollars using exchange rates.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</si>
</sst>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0"/>
    <numFmt numFmtId="166" formatCode="0.0"/>
    <numFmt numFmtId="167" formatCode="0.0%"/>
    <numFmt numFmtId="168" formatCode="[&gt;=0.05]0.0;[=0]\-;\^"/>
    <numFmt numFmtId="169" formatCode="[&lt;-0.0005]\-0.0%;[&gt;0.0005]0.0%;#\♦"/>
    <numFmt numFmtId="170" formatCode="[&lt;0.0005]\♦;0.0%"/>
    <numFmt numFmtId="171" formatCode="&quot;$&quot;#,##0.00"/>
  </numFmts>
  <fonts count="59" x14ac:knownFonts="1">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name val="Times New Roman"/>
      <family val="1"/>
    </font>
    <font>
      <sz val="12"/>
      <color indexed="8"/>
      <name val="Times New Roman"/>
      <family val="1"/>
    </font>
    <font>
      <sz val="12"/>
      <name val="Times New Roman"/>
      <family val="1"/>
    </font>
    <font>
      <b/>
      <sz val="12"/>
      <name val="Times New Roman"/>
      <family val="1"/>
    </font>
    <font>
      <vertAlign val="superscript"/>
      <sz val="12"/>
      <name val="Times New Roman"/>
      <family val="1"/>
    </font>
    <font>
      <sz val="12"/>
      <name val="Symbol"/>
      <family val="1"/>
    </font>
    <font>
      <i/>
      <sz val="12"/>
      <name val="Times New Roman"/>
      <family val="1"/>
    </font>
    <font>
      <vertAlign val="superscript"/>
      <sz val="12"/>
      <name val="Times New Roman"/>
      <family val="1"/>
    </font>
    <font>
      <sz val="16"/>
      <name val="Times New Roman"/>
      <family val="1"/>
    </font>
    <font>
      <sz val="8"/>
      <name val="Times New Roman"/>
      <family val="1"/>
    </font>
    <font>
      <sz val="28"/>
      <name val="Times New Roman"/>
      <family val="1"/>
    </font>
    <font>
      <b/>
      <sz val="12"/>
      <name val="Times New Roman"/>
      <family val="1"/>
    </font>
    <font>
      <sz val="12"/>
      <name val="Times New Roman"/>
      <family val="1"/>
    </font>
    <font>
      <sz val="10"/>
      <name val="Arial"/>
      <family val="2"/>
    </font>
    <font>
      <sz val="10"/>
      <name val="Arial"/>
      <family val="2"/>
    </font>
    <font>
      <b/>
      <sz val="10"/>
      <name val="Arial"/>
      <family val="2"/>
    </font>
    <font>
      <b/>
      <sz val="12"/>
      <name val="Arial"/>
      <family val="2"/>
    </font>
    <font>
      <sz val="24"/>
      <name val="Times New Roman"/>
      <family val="1"/>
    </font>
    <font>
      <b/>
      <sz val="14"/>
      <color indexed="8"/>
      <name val="Calibri"/>
      <family val="2"/>
    </font>
    <font>
      <sz val="8"/>
      <color indexed="8"/>
      <name val="Arial"/>
      <family val="2"/>
    </font>
    <font>
      <sz val="8"/>
      <name val="Arial"/>
      <family val="2"/>
    </font>
    <font>
      <b/>
      <sz val="10"/>
      <color indexed="16"/>
      <name val="Arial"/>
      <family val="2"/>
    </font>
    <font>
      <sz val="8"/>
      <name val="Arial"/>
      <family val="2"/>
    </font>
    <font>
      <b/>
      <sz val="8"/>
      <name val="Arial"/>
      <family val="2"/>
    </font>
    <font>
      <b/>
      <sz val="8"/>
      <color indexed="9"/>
      <name val="Arial"/>
      <family val="2"/>
    </font>
    <font>
      <b/>
      <sz val="8"/>
      <color indexed="9"/>
      <name val="Arial"/>
      <family val="2"/>
    </font>
    <font>
      <sz val="28"/>
      <name val="Arial"/>
      <family val="2"/>
    </font>
    <font>
      <sz val="28"/>
      <name val="Times New Roman"/>
      <family val="1"/>
    </font>
    <font>
      <b/>
      <vertAlign val="superscript"/>
      <sz val="12"/>
      <name val="Times New Roman"/>
      <family val="1"/>
    </font>
    <font>
      <b/>
      <sz val="12"/>
      <color theme="0"/>
      <name val="Times New Roman"/>
      <family val="1"/>
    </font>
    <font>
      <b/>
      <vertAlign val="subscript"/>
      <sz val="12"/>
      <name val="Times New Roman"/>
      <family val="1"/>
    </font>
    <font>
      <b/>
      <sz val="12"/>
      <color rgb="FF000000"/>
      <name val="Times New Roman"/>
      <family val="1"/>
      <scheme val="minor"/>
    </font>
    <font>
      <sz val="12"/>
      <name val="Times New Roman"/>
      <family val="1"/>
      <scheme val="minor"/>
    </font>
    <font>
      <b/>
      <vertAlign val="subscript"/>
      <sz val="12"/>
      <color rgb="FF000000"/>
      <name val="Times New Roman"/>
      <family val="1"/>
      <scheme val="minor"/>
    </font>
    <font>
      <b/>
      <sz val="12"/>
      <color rgb="FF666666"/>
      <name val="Times New Roman"/>
      <family val="1"/>
      <scheme val="minor"/>
    </font>
    <font>
      <sz val="12"/>
      <color rgb="FF666666"/>
      <name val="Times New Roman"/>
      <family val="1"/>
      <scheme val="minor"/>
    </font>
    <font>
      <u/>
      <sz val="12"/>
      <color indexed="12"/>
      <name val="Times New Roman"/>
      <family val="1"/>
      <scheme val="minor"/>
    </font>
    <font>
      <sz val="12"/>
      <color rgb="FF000000"/>
      <name val="Times New Roman"/>
      <family val="1"/>
      <scheme val="minor"/>
    </font>
    <font>
      <b/>
      <i/>
      <sz val="12"/>
      <color rgb="FF666666"/>
      <name val="Times New Roman"/>
      <family val="1"/>
      <scheme val="minor"/>
    </font>
    <font>
      <b/>
      <sz val="12"/>
      <name val="Times New Roman"/>
      <family val="1"/>
      <scheme val="minor"/>
    </font>
    <font>
      <sz val="12"/>
      <color rgb="FF94ADE5"/>
      <name val="Times New Roman"/>
      <family val="1"/>
      <scheme val="minor"/>
    </font>
    <font>
      <i/>
      <sz val="12"/>
      <color rgb="FF000000"/>
      <name val="Times New Roman"/>
      <family val="1"/>
      <scheme val="minor"/>
    </font>
    <font>
      <sz val="12"/>
      <color rgb="FF5B5C5C"/>
      <name val="Times New Roman"/>
      <family val="1"/>
      <scheme val="minor"/>
    </font>
    <font>
      <sz val="12"/>
      <color rgb="FF817F7F"/>
      <name val="Times New Roman"/>
      <family val="1"/>
      <scheme val="minor"/>
    </font>
    <font>
      <b/>
      <sz val="14"/>
      <name val="Arial"/>
      <family val="2"/>
    </font>
    <font>
      <b/>
      <sz val="12"/>
      <color theme="3"/>
      <name val="Times New Roman"/>
      <family val="2"/>
    </font>
    <font>
      <u/>
      <sz val="12"/>
      <color theme="10"/>
      <name val="Times New Roman"/>
      <family val="1"/>
    </font>
    <font>
      <b/>
      <sz val="12"/>
      <color theme="3"/>
      <name val="Times New Roman"/>
      <family val="2"/>
      <scheme val="major"/>
    </font>
    <font>
      <b/>
      <i/>
      <sz val="12"/>
      <name val="Times New Roman"/>
      <family val="1"/>
    </font>
    <font>
      <vertAlign val="subscript"/>
      <sz val="12"/>
      <name val="Times New Roman"/>
      <family val="1"/>
    </font>
  </fonts>
  <fills count="2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F9F9F9"/>
        <bgColor indexed="64"/>
      </patternFill>
    </fill>
    <fill>
      <patternFill patternType="solid">
        <fgColor rgb="FFF2F2F2"/>
        <bgColor indexed="64"/>
      </patternFill>
    </fill>
    <fill>
      <patternFill patternType="solid">
        <fgColor rgb="FFFFFFFF"/>
        <bgColor indexed="64"/>
      </patternFill>
    </fill>
    <fill>
      <patternFill patternType="solid">
        <fgColor rgb="FFEFEFF7"/>
        <bgColor indexed="64"/>
      </patternFill>
    </fill>
    <fill>
      <patternFill patternType="solid">
        <fgColor rgb="FFF7F7F7"/>
        <bgColor indexed="64"/>
      </patternFill>
    </fill>
    <fill>
      <patternFill patternType="solid">
        <fgColor rgb="FFE7E7E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AAAAAA"/>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top/>
      <bottom/>
      <diagonal/>
    </border>
    <border>
      <left/>
      <right style="medium">
        <color rgb="FFCCCCCC"/>
      </right>
      <top/>
      <bottom/>
      <diagonal/>
    </border>
    <border>
      <left/>
      <right/>
      <top style="medium">
        <color rgb="FFAAAAAA"/>
      </top>
      <bottom style="medium">
        <color rgb="FFAAAAAA"/>
      </bottom>
      <diagonal/>
    </border>
    <border>
      <left/>
      <right style="medium">
        <color rgb="FFCCCCCC"/>
      </right>
      <top style="medium">
        <color rgb="FFCCCCCC"/>
      </top>
      <bottom style="medium">
        <color rgb="FFCCCCCC"/>
      </bottom>
      <diagonal/>
    </border>
    <border>
      <left/>
      <right style="medium">
        <color rgb="FFCCCCCC"/>
      </right>
      <top style="medium">
        <color rgb="FFCCCCCC"/>
      </top>
      <bottom/>
      <diagonal/>
    </border>
    <border>
      <left/>
      <right style="medium">
        <color rgb="FFCCCCCC"/>
      </right>
      <top/>
      <bottom style="medium">
        <color rgb="FFCCCCCC"/>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s>
  <cellStyleXfs count="7">
    <xf numFmtId="0" fontId="0" fillId="0" borderId="0"/>
    <xf numFmtId="0" fontId="55" fillId="0" borderId="0" applyNumberFormat="0" applyFill="0" applyBorder="0" applyAlignment="0" applyProtection="0"/>
    <xf numFmtId="167" fontId="2" fillId="0" borderId="0" applyFont="0" applyFill="0" applyBorder="0" applyAlignment="0" applyProtection="0"/>
    <xf numFmtId="0" fontId="56" fillId="0" borderId="0" applyNumberFormat="0" applyFill="0" applyBorder="0" applyAlignment="0" applyProtection="0"/>
    <xf numFmtId="171" fontId="54" fillId="0" borderId="19" applyFill="0" applyAlignment="0" applyProtection="0"/>
    <xf numFmtId="0" fontId="54" fillId="0" borderId="20" applyNumberFormat="0" applyFill="0" applyAlignment="0" applyProtection="0"/>
    <xf numFmtId="0" fontId="1" fillId="0" borderId="0"/>
  </cellStyleXfs>
  <cellXfs count="269">
    <xf numFmtId="0" fontId="0" fillId="0" borderId="0" xfId="0"/>
    <xf numFmtId="0" fontId="54" fillId="0" borderId="20" xfId="5"/>
    <xf numFmtId="0" fontId="0" fillId="0" borderId="0" xfId="0" quotePrefix="1"/>
    <xf numFmtId="0" fontId="0" fillId="2" borderId="0" xfId="0" applyFill="1"/>
    <xf numFmtId="2" fontId="0" fillId="0" borderId="0" xfId="0" applyNumberFormat="1"/>
    <xf numFmtId="2" fontId="0" fillId="3" borderId="0" xfId="0" applyNumberFormat="1" applyFill="1"/>
    <xf numFmtId="4" fontId="0" fillId="0" borderId="0" xfId="0" applyNumberFormat="1"/>
    <xf numFmtId="2" fontId="10" fillId="3" borderId="0" xfId="0" applyNumberFormat="1" applyFont="1" applyFill="1"/>
    <xf numFmtId="0" fontId="11" fillId="0" borderId="0" xfId="0" applyFont="1"/>
    <xf numFmtId="0" fontId="11" fillId="0" borderId="1" xfId="0" applyFont="1" applyBorder="1"/>
    <xf numFmtId="0" fontId="0" fillId="0" borderId="1" xfId="0" applyBorder="1"/>
    <xf numFmtId="2" fontId="11" fillId="0" borderId="1" xfId="0" applyNumberFormat="1" applyFont="1" applyBorder="1"/>
    <xf numFmtId="2" fontId="0" fillId="0" borderId="1" xfId="0" applyNumberFormat="1" applyBorder="1" applyAlignment="1">
      <alignment horizontal="right"/>
    </xf>
    <xf numFmtId="0" fontId="15" fillId="0" borderId="1" xfId="0" applyFont="1" applyBorder="1"/>
    <xf numFmtId="0" fontId="11" fillId="0" borderId="2" xfId="0" applyFont="1" applyBorder="1" applyAlignment="1">
      <alignment horizontal="right"/>
    </xf>
    <xf numFmtId="0" fontId="12" fillId="0" borderId="1" xfId="0" applyFont="1" applyBorder="1" applyAlignment="1"/>
    <xf numFmtId="0" fontId="0" fillId="0" borderId="3" xfId="0" applyBorder="1"/>
    <xf numFmtId="0" fontId="0" fillId="0" borderId="0" xfId="0" applyAlignment="1">
      <alignment horizontal="right"/>
    </xf>
    <xf numFmtId="0" fontId="0" fillId="0" borderId="0" xfId="0" applyAlignment="1">
      <alignment horizontal="left"/>
    </xf>
    <xf numFmtId="0" fontId="17" fillId="0" borderId="0" xfId="0" applyFont="1"/>
    <xf numFmtId="0" fontId="19" fillId="0" borderId="0" xfId="0" applyFont="1"/>
    <xf numFmtId="0" fontId="19" fillId="2" borderId="0" xfId="0" applyFont="1" applyFill="1"/>
    <xf numFmtId="164" fontId="0" fillId="0" borderId="0" xfId="0" applyNumberFormat="1"/>
    <xf numFmtId="164" fontId="9" fillId="0" borderId="0" xfId="0" applyNumberFormat="1" applyFont="1"/>
    <xf numFmtId="0" fontId="9" fillId="0" borderId="0" xfId="0" applyFont="1"/>
    <xf numFmtId="165" fontId="19" fillId="2" borderId="0" xfId="0" applyNumberFormat="1" applyFont="1" applyFill="1"/>
    <xf numFmtId="165" fontId="19" fillId="0" borderId="0" xfId="0" applyNumberFormat="1" applyFont="1"/>
    <xf numFmtId="0" fontId="16" fillId="0" borderId="0" xfId="0" applyFont="1"/>
    <xf numFmtId="0" fontId="11" fillId="0" borderId="0" xfId="0" quotePrefix="1" applyFont="1"/>
    <xf numFmtId="164" fontId="0" fillId="0" borderId="1" xfId="0" applyNumberFormat="1" applyBorder="1"/>
    <xf numFmtId="0" fontId="12" fillId="0" borderId="0" xfId="0" applyFont="1"/>
    <xf numFmtId="0" fontId="21" fillId="0" borderId="1" xfId="0" quotePrefix="1" applyFont="1" applyBorder="1"/>
    <xf numFmtId="164" fontId="20" fillId="0" borderId="1" xfId="0" applyNumberFormat="1" applyFont="1" applyBorder="1"/>
    <xf numFmtId="0" fontId="26" fillId="0" borderId="1" xfId="0" applyFont="1" applyBorder="1"/>
    <xf numFmtId="0" fontId="26" fillId="0" borderId="1" xfId="0" applyFont="1" applyBorder="1" applyAlignment="1">
      <alignment wrapText="1"/>
    </xf>
    <xf numFmtId="0" fontId="26" fillId="0" borderId="1" xfId="0" quotePrefix="1" applyFont="1" applyBorder="1" applyAlignment="1">
      <alignment horizontal="right"/>
    </xf>
    <xf numFmtId="0" fontId="26" fillId="0" borderId="1" xfId="0" applyFont="1" applyBorder="1" applyAlignment="1">
      <alignment horizontal="right"/>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0" fillId="0" borderId="0" xfId="0" applyAlignment="1">
      <alignment vertical="center" wrapText="1"/>
    </xf>
    <xf numFmtId="0" fontId="24" fillId="0" borderId="1" xfId="0" applyFont="1" applyFill="1" applyBorder="1"/>
    <xf numFmtId="0" fontId="24" fillId="0" borderId="1" xfId="0" applyFont="1" applyFill="1" applyBorder="1" applyAlignment="1">
      <alignment vertical="center"/>
    </xf>
    <xf numFmtId="10" fontId="24" fillId="0" borderId="1" xfId="0" applyNumberFormat="1" applyFont="1" applyFill="1" applyBorder="1"/>
    <xf numFmtId="3" fontId="24" fillId="0" borderId="1" xfId="0" applyNumberFormat="1" applyFont="1" applyFill="1" applyBorder="1" applyAlignment="1">
      <alignment horizontal="right" vertical="center" wrapText="1"/>
    </xf>
    <xf numFmtId="10" fontId="24" fillId="6" borderId="1" xfId="0" applyNumberFormat="1" applyFont="1" applyFill="1" applyBorder="1"/>
    <xf numFmtId="0" fontId="0" fillId="0" borderId="0" xfId="0"/>
    <xf numFmtId="10" fontId="24" fillId="7" borderId="1" xfId="0" applyNumberFormat="1" applyFont="1" applyFill="1" applyBorder="1"/>
    <xf numFmtId="10" fontId="24" fillId="5" borderId="1" xfId="0" applyNumberFormat="1" applyFont="1" applyFill="1" applyBorder="1"/>
    <xf numFmtId="0" fontId="24" fillId="0" borderId="1" xfId="0" applyFont="1" applyFill="1" applyBorder="1" applyAlignment="1">
      <alignment horizontal="right" vertical="center" wrapText="1"/>
    </xf>
    <xf numFmtId="0" fontId="0" fillId="0" borderId="0" xfId="0" applyAlignment="1" applyProtection="1">
      <alignment vertical="center" wrapText="1"/>
    </xf>
    <xf numFmtId="0" fontId="0" fillId="0" borderId="0" xfId="0" applyNumberFormat="1" applyAlignment="1" applyProtection="1">
      <alignment vertical="center"/>
    </xf>
    <xf numFmtId="0" fontId="0" fillId="0" borderId="0" xfId="0" applyAlignment="1">
      <alignment vertical="center"/>
    </xf>
    <xf numFmtId="0" fontId="0" fillId="0" borderId="1" xfId="0" applyBorder="1" applyAlignment="1">
      <alignment horizontal="center" vertical="center" wrapText="1"/>
    </xf>
    <xf numFmtId="0" fontId="27" fillId="8" borderId="1" xfId="0" applyFont="1" applyFill="1" applyBorder="1" applyAlignment="1">
      <alignment horizontal="center" wrapText="1"/>
    </xf>
    <xf numFmtId="0" fontId="0" fillId="9" borderId="1" xfId="0" applyFill="1" applyBorder="1" applyAlignment="1">
      <alignment horizontal="center" vertical="center" wrapText="1"/>
    </xf>
    <xf numFmtId="0" fontId="0" fillId="0" borderId="1" xfId="0" applyBorder="1" applyAlignment="1">
      <alignment horizontal="center" wrapText="1"/>
    </xf>
    <xf numFmtId="0" fontId="0" fillId="10" borderId="1" xfId="0" applyFill="1" applyBorder="1" applyAlignment="1">
      <alignment horizontal="center" wrapText="1"/>
    </xf>
    <xf numFmtId="0" fontId="29" fillId="4" borderId="0" xfId="0" applyFont="1" applyFill="1"/>
    <xf numFmtId="0" fontId="30" fillId="0" borderId="0" xfId="0" applyFont="1"/>
    <xf numFmtId="0" fontId="0" fillId="0" borderId="0" xfId="0"/>
    <xf numFmtId="0" fontId="0" fillId="0" borderId="0" xfId="0" applyAlignment="1">
      <alignment horizontal="right"/>
    </xf>
    <xf numFmtId="0" fontId="31" fillId="4" borderId="0" xfId="0" applyFont="1" applyFill="1"/>
    <xf numFmtId="0" fontId="32" fillId="0" borderId="0" xfId="0" applyFont="1"/>
    <xf numFmtId="168" fontId="32" fillId="0" borderId="0" xfId="0" applyNumberFormat="1" applyFont="1"/>
    <xf numFmtId="169" fontId="32" fillId="0" borderId="0" xfId="0" applyNumberFormat="1" applyFont="1"/>
    <xf numFmtId="170" fontId="32" fillId="0" borderId="0" xfId="0" applyNumberFormat="1" applyFont="1"/>
    <xf numFmtId="2" fontId="31" fillId="4" borderId="0" xfId="0" applyNumberFormat="1" applyFont="1" applyFill="1"/>
    <xf numFmtId="169" fontId="0" fillId="0" borderId="0" xfId="0" applyNumberFormat="1"/>
    <xf numFmtId="170" fontId="0" fillId="0" borderId="0" xfId="0" applyNumberFormat="1"/>
    <xf numFmtId="0" fontId="28" fillId="4" borderId="0" xfId="0" applyFont="1" applyFill="1"/>
    <xf numFmtId="0" fontId="0" fillId="0" borderId="3" xfId="0" applyBorder="1"/>
    <xf numFmtId="168" fontId="32" fillId="0" borderId="3" xfId="0" applyNumberFormat="1" applyFont="1" applyBorder="1"/>
    <xf numFmtId="169" fontId="0" fillId="0" borderId="3" xfId="0" applyNumberFormat="1" applyBorder="1"/>
    <xf numFmtId="170" fontId="0" fillId="0" borderId="3" xfId="0" applyNumberFormat="1" applyBorder="1"/>
    <xf numFmtId="0" fontId="29" fillId="0" borderId="0" xfId="0" applyFont="1"/>
    <xf numFmtId="0" fontId="0" fillId="4" borderId="0" xfId="0" applyFill="1"/>
    <xf numFmtId="0" fontId="33" fillId="11" borderId="0" xfId="0" applyFont="1" applyFill="1"/>
    <xf numFmtId="168" fontId="34" fillId="11" borderId="0" xfId="0" applyNumberFormat="1" applyFont="1" applyFill="1"/>
    <xf numFmtId="169" fontId="33" fillId="11" borderId="0" xfId="0" applyNumberFormat="1" applyFont="1" applyFill="1"/>
    <xf numFmtId="170" fontId="33" fillId="11" borderId="0" xfId="0" applyNumberFormat="1" applyFont="1" applyFill="1"/>
    <xf numFmtId="0" fontId="0" fillId="4" borderId="0" xfId="0" applyFill="1" applyBorder="1"/>
    <xf numFmtId="167" fontId="0" fillId="4" borderId="0" xfId="0" applyNumberFormat="1" applyFill="1" applyBorder="1" applyAlignment="1">
      <alignment horizontal="right"/>
    </xf>
    <xf numFmtId="0" fontId="0" fillId="0" borderId="0" xfId="0" applyBorder="1"/>
    <xf numFmtId="0" fontId="35" fillId="4" borderId="0" xfId="0" applyFont="1" applyFill="1"/>
    <xf numFmtId="0" fontId="35" fillId="0" borderId="0" xfId="0" applyFont="1" applyBorder="1"/>
    <xf numFmtId="0" fontId="35" fillId="0" borderId="0" xfId="0" applyFont="1"/>
    <xf numFmtId="0" fontId="36" fillId="4" borderId="1" xfId="0" applyFont="1" applyFill="1" applyBorder="1"/>
    <xf numFmtId="2" fontId="36" fillId="4" borderId="1" xfId="0" applyNumberFormat="1" applyFont="1" applyFill="1" applyBorder="1"/>
    <xf numFmtId="166" fontId="26" fillId="0" borderId="1" xfId="0" applyNumberFormat="1" applyFont="1" applyBorder="1" applyAlignment="1">
      <alignment horizontal="center"/>
    </xf>
    <xf numFmtId="0" fontId="26" fillId="0" borderId="1" xfId="0" applyFont="1" applyBorder="1" applyAlignment="1">
      <alignment horizontal="center"/>
    </xf>
    <xf numFmtId="1" fontId="26" fillId="0" borderId="1" xfId="0" applyNumberFormat="1" applyFont="1" applyBorder="1" applyAlignment="1">
      <alignment horizontal="center"/>
    </xf>
    <xf numFmtId="0" fontId="26" fillId="0" borderId="0" xfId="0" applyFont="1"/>
    <xf numFmtId="166" fontId="26" fillId="0" borderId="0" xfId="0" applyNumberFormat="1" applyFont="1"/>
    <xf numFmtId="0" fontId="0" fillId="12" borderId="1" xfId="0" applyFill="1" applyBorder="1"/>
    <xf numFmtId="166" fontId="26" fillId="0" borderId="1" xfId="0" applyNumberFormat="1" applyFont="1" applyBorder="1"/>
    <xf numFmtId="166" fontId="0" fillId="0" borderId="0" xfId="0" applyNumberFormat="1"/>
    <xf numFmtId="164" fontId="11" fillId="0" borderId="1" xfId="0" applyNumberFormat="1" applyFont="1" applyBorder="1"/>
    <xf numFmtId="164" fontId="11" fillId="0" borderId="0" xfId="0" applyNumberFormat="1" applyFont="1"/>
    <xf numFmtId="0" fontId="55" fillId="0" borderId="0" xfId="1"/>
    <xf numFmtId="0" fontId="0" fillId="0" borderId="0" xfId="0"/>
    <xf numFmtId="0" fontId="0" fillId="13" borderId="0" xfId="0" applyFill="1"/>
    <xf numFmtId="0" fontId="0" fillId="0" borderId="0" xfId="0"/>
    <xf numFmtId="0" fontId="8" fillId="0" borderId="0" xfId="0" applyFont="1"/>
    <xf numFmtId="164" fontId="8" fillId="0" borderId="0" xfId="0" applyNumberFormat="1" applyFont="1" applyFill="1"/>
    <xf numFmtId="1" fontId="8" fillId="0" borderId="0" xfId="0" applyNumberFormat="1" applyFont="1"/>
    <xf numFmtId="0" fontId="0" fillId="14" borderId="0" xfId="0" applyFill="1"/>
    <xf numFmtId="0" fontId="8" fillId="0" borderId="0" xfId="0" applyFont="1"/>
    <xf numFmtId="0" fontId="8" fillId="0" borderId="0" xfId="0" applyFont="1" applyAlignment="1">
      <alignment wrapText="1"/>
    </xf>
    <xf numFmtId="0" fontId="22" fillId="0" borderId="0" xfId="0" applyFont="1" applyAlignment="1">
      <alignment horizontal="right"/>
    </xf>
    <xf numFmtId="0" fontId="22" fillId="13" borderId="0" xfId="0" applyFont="1" applyFill="1" applyAlignment="1">
      <alignment horizontal="right"/>
    </xf>
    <xf numFmtId="0" fontId="24" fillId="0" borderId="0" xfId="0" applyFont="1"/>
    <xf numFmtId="2" fontId="0" fillId="0" borderId="0" xfId="0" applyNumberFormat="1"/>
    <xf numFmtId="2" fontId="8" fillId="0" borderId="0" xfId="0" applyNumberFormat="1" applyFont="1"/>
    <xf numFmtId="1" fontId="8" fillId="0" borderId="0" xfId="0" applyNumberFormat="1" applyFont="1"/>
    <xf numFmtId="166" fontId="8" fillId="0" borderId="0" xfId="0" applyNumberFormat="1" applyFont="1"/>
    <xf numFmtId="166" fontId="8" fillId="0" borderId="0" xfId="0" applyNumberFormat="1" applyFont="1" applyFill="1" applyAlignment="1">
      <alignment horizontal="right"/>
    </xf>
    <xf numFmtId="166" fontId="8" fillId="0" borderId="0" xfId="0" applyNumberFormat="1" applyFont="1" applyAlignment="1">
      <alignment horizontal="right"/>
    </xf>
    <xf numFmtId="0" fontId="12" fillId="0" borderId="0" xfId="0" applyFont="1" applyAlignment="1"/>
    <xf numFmtId="0" fontId="22" fillId="13" borderId="0" xfId="0" applyFont="1" applyFill="1"/>
    <xf numFmtId="0" fontId="0" fillId="0" borderId="0" xfId="0" applyAlignment="1"/>
    <xf numFmtId="0" fontId="12" fillId="0" borderId="0" xfId="0" applyFont="1" applyAlignment="1">
      <alignment horizontal="center"/>
    </xf>
    <xf numFmtId="0" fontId="25" fillId="13" borderId="0" xfId="0" applyFont="1" applyFill="1" applyAlignment="1">
      <alignment horizontal="center"/>
    </xf>
    <xf numFmtId="0" fontId="25" fillId="0" borderId="0" xfId="0" applyFont="1" applyAlignment="1">
      <alignment horizontal="center"/>
    </xf>
    <xf numFmtId="0" fontId="24" fillId="0" borderId="0" xfId="0" applyFont="1" applyAlignment="1">
      <alignment wrapText="1"/>
    </xf>
    <xf numFmtId="0" fontId="12" fillId="0" borderId="0" xfId="0" applyFont="1" applyFill="1" applyAlignment="1">
      <alignment horizontal="center"/>
    </xf>
    <xf numFmtId="0" fontId="12" fillId="0" borderId="0" xfId="0" applyFont="1" applyAlignment="1">
      <alignment horizontal="center"/>
    </xf>
    <xf numFmtId="0" fontId="12" fillId="0" borderId="0" xfId="0" applyFont="1" applyAlignment="1">
      <alignment horizontal="left"/>
    </xf>
    <xf numFmtId="0" fontId="24" fillId="14" borderId="0" xfId="0" applyFont="1" applyFill="1"/>
    <xf numFmtId="0" fontId="25" fillId="0" borderId="0" xfId="0" applyFont="1" applyAlignment="1">
      <alignment horizontal="left"/>
    </xf>
    <xf numFmtId="0" fontId="25" fillId="13" borderId="0" xfId="0" applyFont="1" applyFill="1" applyAlignment="1"/>
    <xf numFmtId="0" fontId="0" fillId="13" borderId="0" xfId="0" applyFill="1" applyAlignment="1">
      <alignment horizontal="left"/>
    </xf>
    <xf numFmtId="0" fontId="12" fillId="0" borderId="0" xfId="0" applyFont="1" applyFill="1" applyAlignment="1">
      <alignment horizontal="left"/>
    </xf>
    <xf numFmtId="0" fontId="8" fillId="0" borderId="0" xfId="0" applyFont="1" applyAlignment="1"/>
    <xf numFmtId="0" fontId="22" fillId="0" borderId="0" xfId="0" applyFont="1"/>
    <xf numFmtId="0" fontId="12" fillId="0" borderId="0" xfId="0" applyFont="1" applyAlignment="1">
      <alignment horizontal="center" wrapText="1"/>
    </xf>
    <xf numFmtId="166" fontId="12" fillId="0" borderId="0" xfId="0" applyNumberFormat="1" applyFont="1" applyAlignment="1">
      <alignment horizontal="right"/>
    </xf>
    <xf numFmtId="166" fontId="12" fillId="0" borderId="0" xfId="0" applyNumberFormat="1" applyFont="1" applyFill="1" applyAlignment="1">
      <alignment horizontal="right"/>
    </xf>
    <xf numFmtId="166" fontId="12" fillId="0" borderId="0" xfId="0" applyNumberFormat="1" applyFont="1"/>
    <xf numFmtId="1" fontId="12" fillId="0" borderId="0" xfId="0" applyNumberFormat="1" applyFont="1"/>
    <xf numFmtId="2" fontId="12" fillId="0" borderId="0" xfId="0" applyNumberFormat="1" applyFont="1"/>
    <xf numFmtId="0" fontId="7" fillId="0" borderId="0" xfId="0" applyFont="1"/>
    <xf numFmtId="0" fontId="7" fillId="0" borderId="0" xfId="0" applyFont="1" applyAlignment="1">
      <alignment wrapText="1"/>
    </xf>
    <xf numFmtId="0" fontId="7" fillId="0" borderId="0" xfId="0" applyFont="1"/>
    <xf numFmtId="0" fontId="8" fillId="0" borderId="1" xfId="0" applyFont="1" applyBorder="1" applyAlignment="1">
      <alignment wrapText="1"/>
    </xf>
    <xf numFmtId="0" fontId="8" fillId="0" borderId="1" xfId="0" applyFont="1" applyBorder="1"/>
    <xf numFmtId="0" fontId="12" fillId="0" borderId="1" xfId="0" applyFont="1" applyBorder="1" applyAlignment="1">
      <alignment horizontal="center"/>
    </xf>
    <xf numFmtId="0" fontId="12" fillId="0" borderId="1" xfId="0" applyFont="1" applyFill="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center"/>
    </xf>
    <xf numFmtId="0" fontId="12" fillId="0" borderId="1" xfId="0" applyFont="1" applyBorder="1" applyAlignment="1">
      <alignment wrapText="1"/>
    </xf>
    <xf numFmtId="0" fontId="12" fillId="0" borderId="1" xfId="0" applyFont="1" applyFill="1" applyBorder="1" applyAlignment="1">
      <alignment horizontal="center"/>
    </xf>
    <xf numFmtId="166" fontId="8" fillId="0" borderId="1" xfId="0" applyNumberFormat="1" applyFont="1" applyBorder="1"/>
    <xf numFmtId="1" fontId="8" fillId="0" borderId="1" xfId="0" applyNumberFormat="1" applyFont="1" applyBorder="1"/>
    <xf numFmtId="166" fontId="12" fillId="0" borderId="1" xfId="0" applyNumberFormat="1" applyFont="1" applyBorder="1"/>
    <xf numFmtId="1" fontId="12" fillId="0" borderId="1" xfId="0" applyNumberFormat="1" applyFont="1" applyBorder="1"/>
    <xf numFmtId="166" fontId="8" fillId="0" borderId="1" xfId="0" applyNumberFormat="1" applyFont="1" applyBorder="1" applyAlignment="1">
      <alignment horizontal="center"/>
    </xf>
    <xf numFmtId="0" fontId="7" fillId="0" borderId="0" xfId="0" applyFont="1"/>
    <xf numFmtId="0" fontId="6" fillId="0" borderId="0" xfId="0" applyFont="1"/>
    <xf numFmtId="0" fontId="5" fillId="0" borderId="0" xfId="0" applyFont="1"/>
    <xf numFmtId="0" fontId="4" fillId="0" borderId="0" xfId="0" applyFont="1"/>
    <xf numFmtId="0" fontId="3" fillId="0" borderId="0" xfId="0" applyFont="1"/>
    <xf numFmtId="0" fontId="40" fillId="16" borderId="5" xfId="0" applyFont="1" applyFill="1" applyBorder="1" applyAlignment="1">
      <alignment horizontal="center" vertical="center" wrapText="1"/>
    </xf>
    <xf numFmtId="0" fontId="41" fillId="16" borderId="5" xfId="0" applyFont="1" applyFill="1" applyBorder="1" applyAlignment="1">
      <alignment horizontal="center" vertical="center" wrapText="1"/>
    </xf>
    <xf numFmtId="0" fontId="41" fillId="0" borderId="0" xfId="0" applyFont="1"/>
    <xf numFmtId="0" fontId="43" fillId="17" borderId="8" xfId="0" applyFont="1" applyFill="1" applyBorder="1" applyAlignment="1">
      <alignment vertical="center" wrapText="1"/>
    </xf>
    <xf numFmtId="0" fontId="40" fillId="16" borderId="6" xfId="0" applyFont="1" applyFill="1" applyBorder="1" applyAlignment="1">
      <alignment horizontal="center" vertical="center" wrapText="1"/>
    </xf>
    <xf numFmtId="0" fontId="43" fillId="17" borderId="9" xfId="0" applyFont="1" applyFill="1" applyBorder="1" applyAlignment="1">
      <alignment vertical="center" wrapText="1"/>
    </xf>
    <xf numFmtId="0" fontId="43" fillId="17" borderId="10" xfId="0" applyFont="1" applyFill="1" applyBorder="1" applyAlignment="1">
      <alignment vertical="center" wrapText="1"/>
    </xf>
    <xf numFmtId="0" fontId="44" fillId="17" borderId="7" xfId="0" applyFont="1" applyFill="1" applyBorder="1" applyAlignment="1">
      <alignment vertical="center" wrapText="1"/>
    </xf>
    <xf numFmtId="15" fontId="44" fillId="17" borderId="7" xfId="0" applyNumberFormat="1" applyFont="1" applyFill="1" applyBorder="1" applyAlignment="1">
      <alignment vertical="center" wrapText="1"/>
    </xf>
    <xf numFmtId="16" fontId="44" fillId="17" borderId="7" xfId="0" applyNumberFormat="1" applyFont="1" applyFill="1" applyBorder="1" applyAlignment="1">
      <alignment vertical="center" wrapText="1"/>
    </xf>
    <xf numFmtId="0" fontId="46" fillId="15" borderId="4" xfId="0" applyFont="1" applyFill="1" applyBorder="1" applyAlignment="1">
      <alignment vertical="center" wrapText="1"/>
    </xf>
    <xf numFmtId="10" fontId="44" fillId="17" borderId="7" xfId="0" applyNumberFormat="1" applyFont="1" applyFill="1" applyBorder="1" applyAlignment="1">
      <alignment vertical="center" wrapText="1"/>
    </xf>
    <xf numFmtId="15" fontId="44" fillId="17" borderId="8" xfId="0" applyNumberFormat="1" applyFont="1" applyFill="1" applyBorder="1" applyAlignment="1">
      <alignment vertical="center" wrapText="1"/>
    </xf>
    <xf numFmtId="0" fontId="41" fillId="17" borderId="9" xfId="0" applyFont="1" applyFill="1" applyBorder="1" applyAlignment="1">
      <alignment vertical="center" wrapText="1"/>
    </xf>
    <xf numFmtId="0" fontId="44" fillId="17" borderId="10" xfId="0" applyFont="1" applyFill="1" applyBorder="1" applyAlignment="1">
      <alignment vertical="center" wrapText="1"/>
    </xf>
    <xf numFmtId="0" fontId="46" fillId="15" borderId="5" xfId="0" applyFont="1" applyFill="1" applyBorder="1" applyAlignment="1">
      <alignment vertical="center" wrapText="1"/>
    </xf>
    <xf numFmtId="0" fontId="45" fillId="17" borderId="7" xfId="1" applyFont="1" applyFill="1" applyBorder="1" applyAlignment="1">
      <alignment vertical="center" wrapText="1"/>
    </xf>
    <xf numFmtId="10" fontId="45" fillId="17" borderId="7" xfId="1" applyNumberFormat="1" applyFont="1" applyFill="1" applyBorder="1" applyAlignment="1">
      <alignment vertical="center" wrapText="1"/>
    </xf>
    <xf numFmtId="16" fontId="44" fillId="17" borderId="8" xfId="0" applyNumberFormat="1" applyFont="1" applyFill="1" applyBorder="1" applyAlignment="1">
      <alignment vertical="center" wrapText="1"/>
    </xf>
    <xf numFmtId="0" fontId="46" fillId="15" borderId="5" xfId="0" applyFont="1" applyFill="1" applyBorder="1" applyAlignment="1">
      <alignment horizontal="left" vertical="center" wrapText="1"/>
    </xf>
    <xf numFmtId="0" fontId="48" fillId="15" borderId="4" xfId="0" applyFont="1" applyFill="1" applyBorder="1" applyAlignment="1">
      <alignment vertical="center" wrapText="1"/>
    </xf>
    <xf numFmtId="0" fontId="48" fillId="0" borderId="0" xfId="0" applyFont="1" applyAlignment="1">
      <alignment horizontal="right"/>
    </xf>
    <xf numFmtId="0" fontId="40" fillId="0" borderId="0" xfId="0" applyFont="1" applyAlignment="1">
      <alignment horizontal="right" vertical="center" wrapText="1" indent="1"/>
    </xf>
    <xf numFmtId="0" fontId="40" fillId="0" borderId="0" xfId="0" applyFont="1" applyFill="1" applyBorder="1" applyAlignment="1">
      <alignment horizontal="right" vertical="center" wrapText="1" indent="1"/>
    </xf>
    <xf numFmtId="3" fontId="0" fillId="0" borderId="0" xfId="0" applyNumberFormat="1"/>
    <xf numFmtId="0" fontId="40" fillId="16" borderId="13" xfId="0" applyFont="1" applyFill="1" applyBorder="1" applyAlignment="1">
      <alignment horizontal="center" vertical="center" wrapText="1"/>
    </xf>
    <xf numFmtId="0" fontId="46" fillId="15" borderId="0" xfId="0" applyFont="1" applyFill="1" applyBorder="1" applyAlignment="1">
      <alignment vertical="center" wrapText="1"/>
    </xf>
    <xf numFmtId="0" fontId="46" fillId="15" borderId="11" xfId="0" applyFont="1" applyFill="1" applyBorder="1" applyAlignment="1">
      <alignment horizontal="left" vertical="center" wrapText="1"/>
    </xf>
    <xf numFmtId="0" fontId="46" fillId="15" borderId="12" xfId="0" applyFont="1" applyFill="1" applyBorder="1" applyAlignment="1">
      <alignment horizontal="left" vertical="center" wrapText="1"/>
    </xf>
    <xf numFmtId="0" fontId="48" fillId="0" borderId="0" xfId="0" applyFont="1" applyAlignment="1">
      <alignment horizontal="right" wrapText="1"/>
    </xf>
    <xf numFmtId="0" fontId="48" fillId="0" borderId="6" xfId="0" applyFont="1" applyBorder="1" applyAlignment="1"/>
    <xf numFmtId="0" fontId="40" fillId="15" borderId="13" xfId="0" applyFont="1" applyFill="1" applyBorder="1" applyAlignment="1">
      <alignment horizontal="right" vertical="center" wrapText="1"/>
    </xf>
    <xf numFmtId="0" fontId="40" fillId="15" borderId="13" xfId="0" applyFont="1" applyFill="1" applyBorder="1" applyAlignment="1">
      <alignment vertical="center" wrapText="1"/>
    </xf>
    <xf numFmtId="0" fontId="44" fillId="17" borderId="16" xfId="0" applyFont="1" applyFill="1" applyBorder="1" applyAlignment="1">
      <alignment vertical="center" wrapText="1"/>
    </xf>
    <xf numFmtId="0" fontId="45" fillId="17" borderId="16" xfId="1" applyFont="1" applyFill="1" applyBorder="1" applyAlignment="1">
      <alignment vertical="center" wrapText="1"/>
    </xf>
    <xf numFmtId="166" fontId="46" fillId="15" borderId="1" xfId="0" applyNumberFormat="1" applyFont="1" applyFill="1" applyBorder="1" applyAlignment="1">
      <alignment vertical="center" wrapText="1"/>
    </xf>
    <xf numFmtId="0" fontId="46" fillId="15" borderId="1" xfId="0" applyFont="1" applyFill="1" applyBorder="1" applyAlignment="1">
      <alignment vertical="center" wrapText="1"/>
    </xf>
    <xf numFmtId="0" fontId="41" fillId="0" borderId="1" xfId="0" applyFont="1" applyBorder="1"/>
    <xf numFmtId="0" fontId="41" fillId="0" borderId="1" xfId="0" applyFont="1" applyFill="1" applyBorder="1"/>
    <xf numFmtId="0" fontId="55" fillId="0" borderId="1" xfId="1" applyBorder="1"/>
    <xf numFmtId="0" fontId="40" fillId="18" borderId="1" xfId="0" applyFont="1" applyFill="1" applyBorder="1" applyAlignment="1">
      <alignment horizontal="left" vertical="center" wrapText="1"/>
    </xf>
    <xf numFmtId="0" fontId="40" fillId="18" borderId="1" xfId="0" applyFont="1" applyFill="1" applyBorder="1" applyAlignment="1">
      <alignment vertical="center" wrapText="1"/>
    </xf>
    <xf numFmtId="0" fontId="41" fillId="18" borderId="1" xfId="0" applyFont="1" applyFill="1" applyBorder="1" applyAlignment="1">
      <alignment vertical="center" wrapText="1"/>
    </xf>
    <xf numFmtId="0" fontId="51" fillId="18" borderId="1" xfId="0" applyFont="1" applyFill="1" applyBorder="1" applyAlignment="1">
      <alignment horizontal="left" vertical="center" wrapText="1"/>
    </xf>
    <xf numFmtId="0" fontId="46" fillId="18" borderId="1" xfId="0" applyFont="1" applyFill="1" applyBorder="1" applyAlignment="1">
      <alignment vertical="center" wrapText="1"/>
    </xf>
    <xf numFmtId="0" fontId="51" fillId="18" borderId="1" xfId="0" applyFont="1" applyFill="1" applyBorder="1" applyAlignment="1">
      <alignment vertical="center" wrapText="1"/>
    </xf>
    <xf numFmtId="0" fontId="52" fillId="18" borderId="1" xfId="0" applyFont="1" applyFill="1" applyBorder="1" applyAlignment="1">
      <alignment horizontal="left" vertical="center" wrapText="1"/>
    </xf>
    <xf numFmtId="0" fontId="52" fillId="18" borderId="1" xfId="0" applyFont="1" applyFill="1" applyBorder="1" applyAlignment="1">
      <alignment horizontal="right" vertical="center" wrapText="1"/>
    </xf>
    <xf numFmtId="0" fontId="46" fillId="19" borderId="1" xfId="0" applyFont="1" applyFill="1" applyBorder="1" applyAlignment="1">
      <alignment horizontal="left" vertical="center" wrapText="1"/>
    </xf>
    <xf numFmtId="0" fontId="46" fillId="17" borderId="1" xfId="0" applyFont="1" applyFill="1" applyBorder="1" applyAlignment="1">
      <alignment vertical="center" wrapText="1"/>
    </xf>
    <xf numFmtId="0" fontId="46" fillId="20" borderId="1" xfId="0" applyFont="1" applyFill="1" applyBorder="1" applyAlignment="1">
      <alignment horizontal="left" vertical="center" wrapText="1"/>
    </xf>
    <xf numFmtId="0" fontId="46" fillId="19" borderId="1" xfId="0" applyFont="1" applyFill="1" applyBorder="1" applyAlignment="1">
      <alignment vertical="center" wrapText="1"/>
    </xf>
    <xf numFmtId="4" fontId="0" fillId="0" borderId="0" xfId="0" applyNumberFormat="1"/>
    <xf numFmtId="0" fontId="24" fillId="0" borderId="0" xfId="0" applyFont="1" applyAlignment="1">
      <alignment horizontal="center"/>
    </xf>
    <xf numFmtId="0" fontId="53" fillId="0" borderId="0" xfId="0" applyFont="1"/>
    <xf numFmtId="0" fontId="12" fillId="0" borderId="0" xfId="0" applyFont="1"/>
    <xf numFmtId="2" fontId="12" fillId="0" borderId="1" xfId="0" applyNumberFormat="1" applyFont="1" applyBorder="1"/>
    <xf numFmtId="2" fontId="12" fillId="0" borderId="0" xfId="0" applyNumberFormat="1" applyFont="1" applyAlignment="1">
      <alignment horizontal="left"/>
    </xf>
    <xf numFmtId="0" fontId="2" fillId="0" borderId="0" xfId="6" applyFont="1"/>
    <xf numFmtId="0" fontId="1" fillId="13" borderId="0" xfId="6" applyFill="1"/>
    <xf numFmtId="0" fontId="1" fillId="0" borderId="0" xfId="6"/>
    <xf numFmtId="0" fontId="0" fillId="0" borderId="0" xfId="6" applyFont="1"/>
    <xf numFmtId="2" fontId="0" fillId="0" borderId="1" xfId="0" applyNumberFormat="1" applyFont="1" applyBorder="1"/>
    <xf numFmtId="2" fontId="12" fillId="0" borderId="0" xfId="0" applyNumberFormat="1" applyFont="1" applyBorder="1"/>
    <xf numFmtId="0" fontId="11" fillId="0" borderId="0" xfId="0" applyFont="1" applyAlignment="1">
      <alignment wrapText="1"/>
    </xf>
    <xf numFmtId="0" fontId="0" fillId="0" borderId="0" xfId="0" applyAlignment="1">
      <alignment wrapText="1"/>
    </xf>
    <xf numFmtId="0" fontId="40" fillId="15" borderId="11" xfId="0" applyFont="1" applyFill="1" applyBorder="1" applyAlignment="1">
      <alignment horizontal="left" vertical="center" wrapText="1"/>
    </xf>
    <xf numFmtId="0" fontId="40" fillId="15" borderId="15" xfId="0" applyFont="1" applyFill="1" applyBorder="1" applyAlignment="1">
      <alignment horizontal="left" vertical="center" wrapText="1"/>
    </xf>
    <xf numFmtId="0" fontId="40" fillId="15" borderId="12" xfId="0" applyFont="1" applyFill="1" applyBorder="1" applyAlignment="1">
      <alignment horizontal="left" vertical="center" wrapText="1"/>
    </xf>
    <xf numFmtId="0" fontId="43" fillId="17" borderId="8" xfId="0" applyFont="1" applyFill="1" applyBorder="1" applyAlignment="1">
      <alignment vertical="center" wrapText="1"/>
    </xf>
    <xf numFmtId="0" fontId="43" fillId="17" borderId="9" xfId="0" applyFont="1" applyFill="1" applyBorder="1" applyAlignment="1">
      <alignment vertical="center" wrapText="1"/>
    </xf>
    <xf numFmtId="0" fontId="43" fillId="17" borderId="10" xfId="0" applyFont="1" applyFill="1" applyBorder="1" applyAlignment="1">
      <alignment vertical="center" wrapText="1"/>
    </xf>
    <xf numFmtId="0" fontId="45" fillId="17" borderId="17" xfId="1" applyFont="1" applyFill="1" applyBorder="1" applyAlignment="1">
      <alignment vertical="center" wrapText="1"/>
    </xf>
    <xf numFmtId="0" fontId="45" fillId="17" borderId="14" xfId="1" applyFont="1" applyFill="1" applyBorder="1" applyAlignment="1">
      <alignment vertical="center" wrapText="1"/>
    </xf>
    <xf numFmtId="0" fontId="45" fillId="17" borderId="18" xfId="1" applyFont="1" applyFill="1" applyBorder="1" applyAlignment="1">
      <alignment vertical="center" wrapText="1"/>
    </xf>
    <xf numFmtId="15" fontId="44" fillId="17" borderId="8" xfId="0" applyNumberFormat="1" applyFont="1" applyFill="1" applyBorder="1" applyAlignment="1">
      <alignment vertical="center" wrapText="1"/>
    </xf>
    <xf numFmtId="15" fontId="44" fillId="17" borderId="9" xfId="0" applyNumberFormat="1" applyFont="1" applyFill="1" applyBorder="1" applyAlignment="1">
      <alignment vertical="center" wrapText="1"/>
    </xf>
    <xf numFmtId="15" fontId="44" fillId="17" borderId="10" xfId="0" applyNumberFormat="1" applyFont="1" applyFill="1" applyBorder="1" applyAlignment="1">
      <alignment vertical="center" wrapText="1"/>
    </xf>
    <xf numFmtId="10" fontId="44" fillId="17" borderId="8" xfId="0" applyNumberFormat="1" applyFont="1" applyFill="1" applyBorder="1" applyAlignment="1">
      <alignment vertical="center" wrapText="1"/>
    </xf>
    <xf numFmtId="10" fontId="44" fillId="17" borderId="9" xfId="0" applyNumberFormat="1" applyFont="1" applyFill="1" applyBorder="1" applyAlignment="1">
      <alignment vertical="center" wrapText="1"/>
    </xf>
    <xf numFmtId="10" fontId="44" fillId="17" borderId="10" xfId="0" applyNumberFormat="1" applyFont="1" applyFill="1" applyBorder="1" applyAlignment="1">
      <alignment vertical="center" wrapText="1"/>
    </xf>
    <xf numFmtId="0" fontId="12" fillId="0" borderId="0" xfId="0" applyFont="1"/>
    <xf numFmtId="0" fontId="55" fillId="0" borderId="0" xfId="1" applyAlignment="1">
      <alignment horizontal="left"/>
    </xf>
    <xf numFmtId="0" fontId="55" fillId="0" borderId="14" xfId="1" applyBorder="1" applyAlignment="1">
      <alignment horizontal="left"/>
    </xf>
    <xf numFmtId="0" fontId="46" fillId="15" borderId="13" xfId="0" applyFont="1" applyFill="1" applyBorder="1" applyAlignment="1">
      <alignment horizontal="center" vertical="center" wrapText="1"/>
    </xf>
    <xf numFmtId="0" fontId="46" fillId="15" borderId="14" xfId="0" applyFont="1" applyFill="1" applyBorder="1" applyAlignment="1">
      <alignment horizontal="center" vertical="center" wrapText="1"/>
    </xf>
    <xf numFmtId="0" fontId="44" fillId="17" borderId="8" xfId="0" applyFont="1" applyFill="1" applyBorder="1" applyAlignment="1">
      <alignment vertical="center" wrapText="1"/>
    </xf>
    <xf numFmtId="0" fontId="44" fillId="17" borderId="10" xfId="0" applyFont="1" applyFill="1" applyBorder="1" applyAlignment="1">
      <alignment vertical="center" wrapText="1"/>
    </xf>
    <xf numFmtId="0" fontId="49"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46" fillId="0" borderId="1" xfId="0" applyFont="1" applyBorder="1" applyAlignment="1">
      <alignment horizontal="left" vertical="center" wrapText="1"/>
    </xf>
    <xf numFmtId="0" fontId="12" fillId="0" borderId="1" xfId="0" applyFont="1" applyBorder="1" applyAlignment="1">
      <alignment horizontal="left" wrapText="1"/>
    </xf>
    <xf numFmtId="0" fontId="0" fillId="0" borderId="0" xfId="0"/>
    <xf numFmtId="0" fontId="12" fillId="0" borderId="0" xfId="0" applyFont="1" applyAlignment="1">
      <alignment vertical="center"/>
    </xf>
    <xf numFmtId="0" fontId="12" fillId="0" borderId="21" xfId="0" applyFont="1" applyBorder="1" applyAlignment="1">
      <alignment vertical="center" wrapText="1"/>
    </xf>
    <xf numFmtId="0" fontId="57" fillId="0" borderId="22" xfId="0" applyFont="1" applyBorder="1" applyAlignment="1">
      <alignment vertical="center"/>
    </xf>
    <xf numFmtId="0" fontId="12" fillId="0" borderId="22" xfId="0" applyFont="1" applyBorder="1" applyAlignment="1">
      <alignment vertical="center"/>
    </xf>
    <xf numFmtId="0" fontId="12" fillId="0" borderId="22" xfId="0" applyFont="1" applyBorder="1" applyAlignment="1">
      <alignment vertical="center" wrapText="1"/>
    </xf>
    <xf numFmtId="0" fontId="1" fillId="0" borderId="0" xfId="0" applyFont="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xf>
    <xf numFmtId="0" fontId="12" fillId="0" borderId="24" xfId="0" applyFont="1" applyBorder="1" applyAlignment="1">
      <alignment horizontal="center" vertical="center"/>
    </xf>
    <xf numFmtId="0" fontId="1" fillId="0" borderId="23" xfId="0" applyFont="1" applyBorder="1" applyAlignment="1">
      <alignment vertical="center" wrapText="1"/>
    </xf>
    <xf numFmtId="0" fontId="1" fillId="0" borderId="24" xfId="0" applyFont="1" applyBorder="1" applyAlignment="1">
      <alignment vertical="center"/>
    </xf>
    <xf numFmtId="0" fontId="1" fillId="0" borderId="25" xfId="0" applyFont="1" applyBorder="1" applyAlignment="1">
      <alignment vertical="center" wrapText="1"/>
    </xf>
    <xf numFmtId="0" fontId="15" fillId="0" borderId="0" xfId="0" applyFont="1" applyAlignment="1">
      <alignment vertical="center"/>
    </xf>
    <xf numFmtId="0" fontId="1" fillId="0" borderId="26" xfId="0" applyFont="1" applyBorder="1" applyAlignment="1">
      <alignment vertical="center" wrapText="1"/>
    </xf>
    <xf numFmtId="0" fontId="0" fillId="0" borderId="26" xfId="0" applyFont="1" applyBorder="1" applyAlignment="1">
      <alignment horizontal="left" vertical="center" wrapText="1"/>
    </xf>
  </cellXfs>
  <cellStyles count="7">
    <cellStyle name="Heading 1" xfId="4" builtinId="16" customBuiltin="1"/>
    <cellStyle name="Heading 2" xfId="5" builtinId="17" customBuiltin="1"/>
    <cellStyle name="Hyperlink" xfId="1" builtinId="8" customBuiltin="1"/>
    <cellStyle name="Normal" xfId="0" builtinId="0" customBuiltin="1"/>
    <cellStyle name="Normal 2" xfId="6"/>
    <cellStyle name="Percent" xfId="2" builtinId="5" customBuiltin="1"/>
    <cellStyle name="Title" xfId="3" builtinId="1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 Type="http://schemas.openxmlformats.org/officeDocument/2006/relationships/chartsheet" Target="chartsheets/sheet2.xml"/><Relationship Id="rId21" Type="http://schemas.openxmlformats.org/officeDocument/2006/relationships/worksheet" Target="worksheets/sheet16.xml"/><Relationship Id="rId7" Type="http://schemas.openxmlformats.org/officeDocument/2006/relationships/chartsheet" Target="chartsheets/sheet5.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6.xml"/><Relationship Id="rId24" Type="http://schemas.openxmlformats.org/officeDocument/2006/relationships/worksheet" Target="worksheets/sheet19.xml"/><Relationship Id="rId32" Type="http://schemas.openxmlformats.org/officeDocument/2006/relationships/sharedStrings" Target="sharedStrings.xml"/><Relationship Id="rId5" Type="http://schemas.openxmlformats.org/officeDocument/2006/relationships/worksheet" Target="worksheets/sheet2.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10" Type="http://schemas.openxmlformats.org/officeDocument/2006/relationships/worksheet" Target="worksheets/sheet5.xml"/><Relationship Id="rId19" Type="http://schemas.openxmlformats.org/officeDocument/2006/relationships/worksheet" Target="worksheets/sheet14.xml"/><Relationship Id="rId31"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worksheet" Target="worksheets/sheet4.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en-US" sz="1200" b="0"/>
              <a:t>Coastal Clarence</a:t>
            </a:r>
          </a:p>
        </c:rich>
      </c:tx>
      <c:layout>
        <c:manualLayout>
          <c:xMode val="edge"/>
          <c:yMode val="edge"/>
          <c:x val="0.24514857517810271"/>
          <c:y val="9.6510764662212326E-2"/>
        </c:manualLayout>
      </c:layout>
      <c:overlay val="1"/>
    </c:title>
    <c:autoTitleDeleted val="0"/>
    <c:plotArea>
      <c:layout>
        <c:manualLayout>
          <c:layoutTarget val="inner"/>
          <c:xMode val="edge"/>
          <c:yMode val="edge"/>
          <c:x val="0.19530089988751406"/>
          <c:y val="0.18522209532968684"/>
          <c:w val="0.57035190045688733"/>
          <c:h val="0.5835636497553619"/>
        </c:manualLayout>
      </c:layout>
      <c:scatterChart>
        <c:scatterStyle val="lineMarker"/>
        <c:varyColors val="0"/>
        <c:ser>
          <c:idx val="0"/>
          <c:order val="0"/>
          <c:tx>
            <c:strRef>
              <c:f>'F1201&amp;04'!$J$3</c:f>
              <c:strCache>
                <c:ptCount val="1"/>
                <c:pt idx="0">
                  <c:v>MB1</c:v>
                </c:pt>
              </c:strCache>
            </c:strRef>
          </c:tx>
          <c:spPr>
            <a:ln w="9525" cap="rnd" cmpd="sng" algn="ctr">
              <a:solidFill>
                <a:srgbClr val="000000"/>
              </a:solidFill>
              <a:prstDash val="solid"/>
              <a:round/>
              <a:headEnd type="none" w="med" len="med"/>
              <a:tailEnd type="none" w="med" len="med"/>
            </a:ln>
          </c:spPr>
          <c:marker>
            <c:symbol val="none"/>
          </c:marker>
          <c:dLbls>
            <c:dLbl>
              <c:idx val="0"/>
              <c:layout>
                <c:manualLayout>
                  <c:x val="2.976190476190476E-2"/>
                  <c:y val="5.196733481811433E-2"/>
                </c:manualLayout>
              </c:layout>
              <c:tx>
                <c:rich>
                  <a:bodyPr/>
                  <a:lstStyle/>
                  <a:p>
                    <a:r>
                      <a:rPr lang="en-US"/>
                      <a:t>MB</a:t>
                    </a:r>
                    <a:r>
                      <a:rPr lang="en-US" i="0" baseline="-25000"/>
                      <a:t>1</a:t>
                    </a:r>
                  </a:p>
                </c:rich>
              </c:tx>
              <c:dLblPos val="r"/>
              <c:showLegendKey val="0"/>
              <c:showVal val="0"/>
              <c:showCatName val="0"/>
              <c:showSerName val="1"/>
              <c:showPercent val="0"/>
              <c:showBubbleSize val="0"/>
            </c:dLbl>
            <c:txPr>
              <a:bodyPr/>
              <a:lstStyle/>
              <a:p>
                <a:pPr>
                  <a:defRPr b="0" i="1"/>
                </a:pPr>
                <a:endParaRPr lang="en-US"/>
              </a:p>
            </c:txPr>
            <c:showLegendKey val="0"/>
            <c:showVal val="0"/>
            <c:showCatName val="0"/>
            <c:showSerName val="0"/>
            <c:showPercent val="0"/>
            <c:showBubbleSize val="0"/>
          </c:dLbls>
          <c:xVal>
            <c:numRef>
              <c:f>'F1201&amp;04'!$K$2:$M$2</c:f>
              <c:numCache>
                <c:formatCode>General</c:formatCode>
                <c:ptCount val="3"/>
                <c:pt idx="0">
                  <c:v>0</c:v>
                </c:pt>
                <c:pt idx="1">
                  <c:v>99.999999999999986</c:v>
                </c:pt>
                <c:pt idx="2">
                  <c:v>150</c:v>
                </c:pt>
              </c:numCache>
            </c:numRef>
          </c:xVal>
          <c:yVal>
            <c:numRef>
              <c:f>'F1201&amp;04'!$K$3:$M$3</c:f>
              <c:numCache>
                <c:formatCode>General</c:formatCode>
                <c:ptCount val="3"/>
                <c:pt idx="0">
                  <c:v>150</c:v>
                </c:pt>
                <c:pt idx="1">
                  <c:v>50.000000000000014</c:v>
                </c:pt>
                <c:pt idx="2">
                  <c:v>0</c:v>
                </c:pt>
              </c:numCache>
            </c:numRef>
          </c:yVal>
          <c:smooth val="0"/>
        </c:ser>
        <c:ser>
          <c:idx val="1"/>
          <c:order val="1"/>
          <c:tx>
            <c:v>MC</c:v>
          </c:tx>
          <c:spPr>
            <a:ln w="9525" cap="rnd" cmpd="sng" algn="ctr">
              <a:solidFill>
                <a:srgbClr val="000000"/>
              </a:solidFill>
              <a:prstDash val="solid"/>
              <a:round/>
              <a:headEnd type="none" w="med" len="med"/>
              <a:tailEnd type="none" w="med" len="med"/>
            </a:ln>
          </c:spPr>
          <c:marker>
            <c:symbol val="none"/>
          </c:marker>
          <c:dLbls>
            <c:dLbl>
              <c:idx val="1"/>
              <c:showLegendKey val="0"/>
              <c:showVal val="0"/>
              <c:showCatName val="0"/>
              <c:showSerName val="1"/>
              <c:showPercent val="0"/>
              <c:showBubbleSize val="0"/>
            </c:dLbl>
            <c:txPr>
              <a:bodyPr/>
              <a:lstStyle/>
              <a:p>
                <a:pPr>
                  <a:defRPr b="0" i="1"/>
                </a:pPr>
                <a:endParaRPr lang="en-US"/>
              </a:p>
            </c:txPr>
            <c:showLegendKey val="0"/>
            <c:showVal val="0"/>
            <c:showCatName val="0"/>
            <c:showSerName val="0"/>
            <c:showPercent val="0"/>
            <c:showBubbleSize val="0"/>
          </c:dLbls>
          <c:xVal>
            <c:numRef>
              <c:f>'F1201&amp;04'!$K$2:$M$2</c:f>
              <c:numCache>
                <c:formatCode>General</c:formatCode>
                <c:ptCount val="3"/>
                <c:pt idx="0">
                  <c:v>0</c:v>
                </c:pt>
                <c:pt idx="1">
                  <c:v>99.999999999999986</c:v>
                </c:pt>
                <c:pt idx="2">
                  <c:v>150</c:v>
                </c:pt>
              </c:numCache>
            </c:numRef>
          </c:xVal>
          <c:yVal>
            <c:numRef>
              <c:f>'F1201&amp;04'!$K$5:$M$5</c:f>
              <c:numCache>
                <c:formatCode>General</c:formatCode>
                <c:ptCount val="3"/>
                <c:pt idx="0">
                  <c:v>80</c:v>
                </c:pt>
                <c:pt idx="1">
                  <c:v>80</c:v>
                </c:pt>
              </c:numCache>
            </c:numRef>
          </c:yVal>
          <c:smooth val="0"/>
        </c:ser>
        <c:ser>
          <c:idx val="2"/>
          <c:order val="2"/>
          <c:tx>
            <c:v>A1</c:v>
          </c:tx>
          <c:spPr>
            <a:ln w="9525" cap="rnd" cmpd="sng" algn="ctr">
              <a:solidFill>
                <a:srgbClr val="000000"/>
              </a:solidFill>
              <a:prstDash val="dash"/>
              <a:round/>
              <a:headEnd type="none" w="med" len="med"/>
              <a:tailEnd type="none" w="med" len="med"/>
            </a:ln>
          </c:spPr>
          <c:marker>
            <c:symbol val="none"/>
          </c:marker>
          <c:dLbls>
            <c:dLbl>
              <c:idx val="0"/>
              <c:tx>
                <c:rich>
                  <a:bodyPr/>
                  <a:lstStyle/>
                  <a:p>
                    <a:r>
                      <a:rPr lang="en-US"/>
                      <a:t>A</a:t>
                    </a:r>
                    <a:r>
                      <a:rPr lang="en-US" baseline="-25000"/>
                      <a:t>1</a:t>
                    </a:r>
                  </a:p>
                </c:rich>
              </c:tx>
              <c:dLblPos val="b"/>
              <c:showLegendKey val="0"/>
              <c:showVal val="0"/>
              <c:showCatName val="0"/>
              <c:showSerName val="1"/>
              <c:showPercent val="0"/>
              <c:showBubbleSize val="0"/>
            </c:dLbl>
            <c:dLbl>
              <c:idx val="1"/>
              <c:delete val="1"/>
            </c:dLbl>
            <c:txPr>
              <a:bodyPr/>
              <a:lstStyle/>
              <a:p>
                <a:pPr>
                  <a:defRPr b="0" i="1"/>
                </a:pPr>
                <a:endParaRPr lang="en-US"/>
              </a:p>
            </c:txPr>
            <c:dLblPos val="b"/>
            <c:showLegendKey val="0"/>
            <c:showVal val="0"/>
            <c:showCatName val="0"/>
            <c:showSerName val="1"/>
            <c:showPercent val="0"/>
            <c:showBubbleSize val="0"/>
            <c:showLeaderLines val="0"/>
          </c:dLbls>
          <c:xVal>
            <c:numRef>
              <c:f>'F1201&amp;04'!$K$7:$K$8</c:f>
              <c:numCache>
                <c:formatCode>General</c:formatCode>
                <c:ptCount val="2"/>
                <c:pt idx="0">
                  <c:v>70</c:v>
                </c:pt>
                <c:pt idx="1">
                  <c:v>70</c:v>
                </c:pt>
              </c:numCache>
            </c:numRef>
          </c:xVal>
          <c:yVal>
            <c:numRef>
              <c:f>'F1201&amp;04'!$L$7:$L$8</c:f>
              <c:numCache>
                <c:formatCode>General</c:formatCode>
                <c:ptCount val="2"/>
                <c:pt idx="0">
                  <c:v>0</c:v>
                </c:pt>
                <c:pt idx="1">
                  <c:v>80</c:v>
                </c:pt>
              </c:numCache>
            </c:numRef>
          </c:yVal>
          <c:smooth val="0"/>
        </c:ser>
        <c:dLbls>
          <c:showLegendKey val="0"/>
          <c:showVal val="0"/>
          <c:showCatName val="0"/>
          <c:showSerName val="0"/>
          <c:showPercent val="0"/>
          <c:showBubbleSize val="0"/>
        </c:dLbls>
        <c:axId val="105092608"/>
        <c:axId val="105097088"/>
      </c:scatterChart>
      <c:valAx>
        <c:axId val="105092608"/>
        <c:scaling>
          <c:orientation val="minMax"/>
          <c:max val="150"/>
          <c:min val="0"/>
        </c:scaling>
        <c:delete val="0"/>
        <c:axPos val="b"/>
        <c:title>
          <c:tx>
            <c:rich>
              <a:bodyPr/>
              <a:lstStyle/>
              <a:p>
                <a:pPr>
                  <a:defRPr b="0"/>
                </a:pPr>
                <a:r>
                  <a:rPr lang="en-US" b="0"/>
                  <a:t>Abatement</a:t>
                </a:r>
              </a:p>
            </c:rich>
          </c:tx>
          <c:layout>
            <c:manualLayout>
              <c:xMode val="edge"/>
              <c:yMode val="edge"/>
              <c:x val="0.43157894736842106"/>
              <c:y val="0.8794520547945206"/>
            </c:manualLayout>
          </c:layout>
          <c:overlay val="0"/>
          <c:spPr>
            <a:noFill/>
            <a:ln w="25400">
              <a:noFill/>
            </a:ln>
          </c:spPr>
        </c:title>
        <c:numFmt formatCode="General" sourceLinked="1"/>
        <c:majorTickMark val="out"/>
        <c:minorTickMark val="none"/>
        <c:tickLblPos val="none"/>
        <c:crossAx val="105097088"/>
        <c:crosses val="autoZero"/>
        <c:crossBetween val="midCat"/>
      </c:valAx>
      <c:valAx>
        <c:axId val="105097088"/>
        <c:scaling>
          <c:orientation val="minMax"/>
          <c:max val="150"/>
          <c:min val="0"/>
        </c:scaling>
        <c:delete val="0"/>
        <c:axPos val="l"/>
        <c:title>
          <c:tx>
            <c:rich>
              <a:bodyPr rot="0" vert="wordArtVert"/>
              <a:lstStyle/>
              <a:p>
                <a:pPr>
                  <a:defRPr b="0"/>
                </a:pPr>
                <a:r>
                  <a:rPr lang="en-US" b="0"/>
                  <a:t>$</a:t>
                </a:r>
              </a:p>
            </c:rich>
          </c:tx>
          <c:layout>
            <c:manualLayout>
              <c:xMode val="edge"/>
              <c:yMode val="edge"/>
              <c:x val="4.5892857142857152E-2"/>
              <c:y val="0.18921770751938449"/>
            </c:manualLayout>
          </c:layout>
          <c:overlay val="0"/>
        </c:title>
        <c:numFmt formatCode="General" sourceLinked="1"/>
        <c:majorTickMark val="out"/>
        <c:minorTickMark val="none"/>
        <c:tickLblPos val="none"/>
        <c:crossAx val="1050926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 UNFCCC'!$A$5</c:f>
              <c:strCache>
                <c:ptCount val="1"/>
                <c:pt idx="0">
                  <c:v>GHG emissions exclude LULUCF/LUCF</c:v>
                </c:pt>
              </c:strCache>
            </c:strRef>
          </c:tx>
          <c:marker>
            <c:symbol val="none"/>
          </c:marker>
          <c:cat>
            <c:strRef>
              <c:f>'DI UNFCCC'!$B$4:$W$4</c:f>
              <c:strCache>
                <c:ptCount val="22"/>
                <c:pt idx="0">
                  <c:v>Base year</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strCache>
            </c:strRef>
          </c:cat>
          <c:val>
            <c:numRef>
              <c:f>'DI UNFCCC'!$B$5:$W$5</c:f>
              <c:numCache>
                <c:formatCode>#,##0.00</c:formatCode>
                <c:ptCount val="22"/>
                <c:pt idx="0">
                  <c:v>6161460.5017812401</c:v>
                </c:pt>
                <c:pt idx="1">
                  <c:v>6161460.5017812401</c:v>
                </c:pt>
                <c:pt idx="2">
                  <c:v>6122046.2035124702</c:v>
                </c:pt>
                <c:pt idx="3">
                  <c:v>6221939.1249527298</c:v>
                </c:pt>
                <c:pt idx="4">
                  <c:v>6347518.4554303102</c:v>
                </c:pt>
                <c:pt idx="5">
                  <c:v>6437059.4394610897</c:v>
                </c:pt>
                <c:pt idx="6">
                  <c:v>6528272.7862712899</c:v>
                </c:pt>
                <c:pt idx="7">
                  <c:v>6729772.9170727301</c:v>
                </c:pt>
                <c:pt idx="8">
                  <c:v>6789824.5620811703</c:v>
                </c:pt>
                <c:pt idx="9">
                  <c:v>6831295.7082428401</c:v>
                </c:pt>
                <c:pt idx="10">
                  <c:v>6882624.5292182202</c:v>
                </c:pt>
                <c:pt idx="11">
                  <c:v>7072446.6429393897</c:v>
                </c:pt>
                <c:pt idx="12">
                  <c:v>6964520.37596747</c:v>
                </c:pt>
                <c:pt idx="13">
                  <c:v>6992368.7661193199</c:v>
                </c:pt>
                <c:pt idx="14">
                  <c:v>7029781.3938462501</c:v>
                </c:pt>
                <c:pt idx="15">
                  <c:v>7145552.2506162599</c:v>
                </c:pt>
                <c:pt idx="16">
                  <c:v>7178658.1912505999</c:v>
                </c:pt>
                <c:pt idx="17">
                  <c:v>7116140.1873299601</c:v>
                </c:pt>
                <c:pt idx="18">
                  <c:v>7215169.8124863803</c:v>
                </c:pt>
                <c:pt idx="19">
                  <c:v>7020897.7191158598</c:v>
                </c:pt>
                <c:pt idx="20">
                  <c:v>6587687.3582708901</c:v>
                </c:pt>
                <c:pt idx="21">
                  <c:v>6802224.5091722598</c:v>
                </c:pt>
              </c:numCache>
            </c:numRef>
          </c:val>
          <c:smooth val="0"/>
        </c:ser>
        <c:ser>
          <c:idx val="1"/>
          <c:order val="1"/>
          <c:tx>
            <c:strRef>
              <c:f>'DI UNFCCC'!$A$6</c:f>
              <c:strCache>
                <c:ptCount val="1"/>
                <c:pt idx="0">
                  <c:v>Including LULUCF/LUCF</c:v>
                </c:pt>
              </c:strCache>
            </c:strRef>
          </c:tx>
          <c:marker>
            <c:symbol val="none"/>
          </c:marker>
          <c:cat>
            <c:strRef>
              <c:f>'DI UNFCCC'!$B$4:$W$4</c:f>
              <c:strCache>
                <c:ptCount val="22"/>
                <c:pt idx="0">
                  <c:v>Base year</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strCache>
            </c:strRef>
          </c:cat>
          <c:val>
            <c:numRef>
              <c:f>'DI UNFCCC'!$B$6:$W$6</c:f>
              <c:numCache>
                <c:formatCode>#,##0.00</c:formatCode>
                <c:ptCount val="22"/>
                <c:pt idx="0">
                  <c:v>5293369.0734838899</c:v>
                </c:pt>
                <c:pt idx="1">
                  <c:v>5293369.0734838899</c:v>
                </c:pt>
                <c:pt idx="2">
                  <c:v>5289653.7639905997</c:v>
                </c:pt>
                <c:pt idx="3">
                  <c:v>5405761.6824895004</c:v>
                </c:pt>
                <c:pt idx="4">
                  <c:v>5565903.4681371497</c:v>
                </c:pt>
                <c:pt idx="5">
                  <c:v>5562545.9788751397</c:v>
                </c:pt>
                <c:pt idx="6">
                  <c:v>5727303.66792366</c:v>
                </c:pt>
                <c:pt idx="7">
                  <c:v>5979794.7140076105</c:v>
                </c:pt>
                <c:pt idx="8">
                  <c:v>6028545.6198563203</c:v>
                </c:pt>
                <c:pt idx="9">
                  <c:v>6155272.2553857397</c:v>
                </c:pt>
                <c:pt idx="10">
                  <c:v>6274765.4763564803</c:v>
                </c:pt>
                <c:pt idx="11">
                  <c:v>6424129.8924586503</c:v>
                </c:pt>
                <c:pt idx="12">
                  <c:v>6225499.8701916002</c:v>
                </c:pt>
                <c:pt idx="13">
                  <c:v>6078498.2261152398</c:v>
                </c:pt>
                <c:pt idx="14">
                  <c:v>6027581.7877437798</c:v>
                </c:pt>
                <c:pt idx="15">
                  <c:v>6094882.1250568004</c:v>
                </c:pt>
                <c:pt idx="16">
                  <c:v>6118282.03852781</c:v>
                </c:pt>
                <c:pt idx="17">
                  <c:v>6048939.8527149204</c:v>
                </c:pt>
                <c:pt idx="18">
                  <c:v>6144525.19573416</c:v>
                </c:pt>
                <c:pt idx="19">
                  <c:v>5960865.5262174401</c:v>
                </c:pt>
                <c:pt idx="20">
                  <c:v>5545716.6867800402</c:v>
                </c:pt>
                <c:pt idx="21">
                  <c:v>5747136.6687944504</c:v>
                </c:pt>
              </c:numCache>
            </c:numRef>
          </c:val>
          <c:smooth val="0"/>
        </c:ser>
        <c:dLbls>
          <c:showLegendKey val="0"/>
          <c:showVal val="0"/>
          <c:showCatName val="0"/>
          <c:showSerName val="0"/>
          <c:showPercent val="0"/>
          <c:showBubbleSize val="0"/>
        </c:dLbls>
        <c:marker val="1"/>
        <c:smooth val="0"/>
        <c:axId val="174105728"/>
        <c:axId val="174107264"/>
      </c:lineChart>
      <c:catAx>
        <c:axId val="174105728"/>
        <c:scaling>
          <c:orientation val="minMax"/>
        </c:scaling>
        <c:delete val="0"/>
        <c:axPos val="b"/>
        <c:majorTickMark val="out"/>
        <c:minorTickMark val="none"/>
        <c:tickLblPos val="nextTo"/>
        <c:crossAx val="174107264"/>
        <c:crosses val="autoZero"/>
        <c:auto val="1"/>
        <c:lblAlgn val="ctr"/>
        <c:lblOffset val="100"/>
        <c:noMultiLvlLbl val="0"/>
      </c:catAx>
      <c:valAx>
        <c:axId val="174107264"/>
        <c:scaling>
          <c:orientation val="minMax"/>
        </c:scaling>
        <c:delete val="0"/>
        <c:axPos val="l"/>
        <c:majorGridlines/>
        <c:numFmt formatCode="#,##0.00" sourceLinked="1"/>
        <c:majorTickMark val="out"/>
        <c:minorTickMark val="none"/>
        <c:tickLblPos val="nextTo"/>
        <c:crossAx val="17410572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mn-lt"/>
              </a:defRPr>
            </a:pPr>
            <a:r>
              <a:rPr lang="en-US" sz="1200" b="0">
                <a:latin typeface="+mn-lt"/>
              </a:rPr>
              <a:t>Inland Ingrid</a:t>
            </a:r>
          </a:p>
        </c:rich>
      </c:tx>
      <c:layout>
        <c:manualLayout>
          <c:xMode val="edge"/>
          <c:yMode val="edge"/>
          <c:x val="0.29470238095238094"/>
          <c:y val="0.10764662212323682"/>
        </c:manualLayout>
      </c:layout>
      <c:overlay val="1"/>
    </c:title>
    <c:autoTitleDeleted val="0"/>
    <c:plotArea>
      <c:layout>
        <c:manualLayout>
          <c:layoutTarget val="inner"/>
          <c:xMode val="edge"/>
          <c:yMode val="edge"/>
          <c:x val="0.17684523809523808"/>
          <c:y val="0.19222666346096051"/>
          <c:w val="0.53744047619047619"/>
          <c:h val="0.57593015567710526"/>
        </c:manualLayout>
      </c:layout>
      <c:scatterChart>
        <c:scatterStyle val="lineMarker"/>
        <c:varyColors val="0"/>
        <c:ser>
          <c:idx val="0"/>
          <c:order val="0"/>
          <c:tx>
            <c:strRef>
              <c:f>'F1201&amp;04'!$J$4</c:f>
              <c:strCache>
                <c:ptCount val="1"/>
                <c:pt idx="0">
                  <c:v>MB2</c:v>
                </c:pt>
              </c:strCache>
            </c:strRef>
          </c:tx>
          <c:spPr>
            <a:ln w="9525" cap="rnd" cmpd="sng" algn="ctr">
              <a:solidFill>
                <a:srgbClr val="000000"/>
              </a:solidFill>
              <a:prstDash val="solid"/>
              <a:round/>
              <a:headEnd type="none" w="med" len="med"/>
              <a:tailEnd type="none" w="med" len="med"/>
            </a:ln>
          </c:spPr>
          <c:marker>
            <c:symbol val="none"/>
          </c:marker>
          <c:dLbls>
            <c:dLbl>
              <c:idx val="0"/>
              <c:layout>
                <c:manualLayout>
                  <c:x val="8.5822084739407573E-3"/>
                  <c:y val="-1.8559762435040865E-2"/>
                </c:manualLayout>
              </c:layout>
              <c:tx>
                <c:rich>
                  <a:bodyPr/>
                  <a:lstStyle/>
                  <a:p>
                    <a:r>
                      <a:rPr lang="en-US"/>
                      <a:t>MB</a:t>
                    </a:r>
                    <a:r>
                      <a:rPr lang="en-US" b="0" i="0" baseline="-25000"/>
                      <a:t>2</a:t>
                    </a:r>
                  </a:p>
                </c:rich>
              </c:tx>
              <c:showLegendKey val="0"/>
              <c:showVal val="0"/>
              <c:showCatName val="0"/>
              <c:showSerName val="1"/>
              <c:showPercent val="0"/>
              <c:showBubbleSize val="0"/>
            </c:dLbl>
            <c:dLbl>
              <c:idx val="1"/>
              <c:delete val="1"/>
            </c:dLbl>
            <c:dLbl>
              <c:idx val="2"/>
              <c:delete val="1"/>
            </c:dLbl>
            <c:txPr>
              <a:bodyPr/>
              <a:lstStyle/>
              <a:p>
                <a:pPr>
                  <a:defRPr b="0" i="1"/>
                </a:pPr>
                <a:endParaRPr lang="en-US"/>
              </a:p>
            </c:txPr>
            <c:showLegendKey val="0"/>
            <c:showVal val="0"/>
            <c:showCatName val="0"/>
            <c:showSerName val="1"/>
            <c:showPercent val="0"/>
            <c:showBubbleSize val="0"/>
            <c:showLeaderLines val="0"/>
          </c:dLbls>
          <c:xVal>
            <c:numRef>
              <c:f>'F1201&amp;04'!$K$2:$M$2</c:f>
              <c:numCache>
                <c:formatCode>General</c:formatCode>
                <c:ptCount val="3"/>
                <c:pt idx="0">
                  <c:v>0</c:v>
                </c:pt>
                <c:pt idx="1">
                  <c:v>99.999999999999986</c:v>
                </c:pt>
                <c:pt idx="2">
                  <c:v>150</c:v>
                </c:pt>
              </c:numCache>
            </c:numRef>
          </c:xVal>
          <c:yVal>
            <c:numRef>
              <c:f>'F1201&amp;04'!$K$4:$M$4</c:f>
              <c:numCache>
                <c:formatCode>General</c:formatCode>
                <c:ptCount val="3"/>
                <c:pt idx="0">
                  <c:v>110</c:v>
                </c:pt>
                <c:pt idx="1">
                  <c:v>0</c:v>
                </c:pt>
                <c:pt idx="2">
                  <c:v>0</c:v>
                </c:pt>
              </c:numCache>
            </c:numRef>
          </c:yVal>
          <c:smooth val="0"/>
        </c:ser>
        <c:ser>
          <c:idx val="1"/>
          <c:order val="1"/>
          <c:tx>
            <c:v>MC</c:v>
          </c:tx>
          <c:spPr>
            <a:ln w="9525" cap="rnd" cmpd="sng" algn="ctr">
              <a:solidFill>
                <a:srgbClr val="000000"/>
              </a:solidFill>
              <a:prstDash val="solid"/>
              <a:round/>
              <a:headEnd type="none" w="med" len="med"/>
              <a:tailEnd type="none" w="med" len="med"/>
            </a:ln>
          </c:spPr>
          <c:marker>
            <c:symbol val="none"/>
          </c:marker>
          <c:dLbls>
            <c:dLbl>
              <c:idx val="1"/>
              <c:spPr/>
              <c:txPr>
                <a:bodyPr/>
                <a:lstStyle/>
                <a:p>
                  <a:pPr>
                    <a:defRPr b="0" i="1"/>
                  </a:pPr>
                  <a:endParaRPr lang="en-US"/>
                </a:p>
              </c:txPr>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'F1201&amp;04'!$K$2:$M$2</c:f>
              <c:numCache>
                <c:formatCode>General</c:formatCode>
                <c:ptCount val="3"/>
                <c:pt idx="0">
                  <c:v>0</c:v>
                </c:pt>
                <c:pt idx="1">
                  <c:v>99.999999999999986</c:v>
                </c:pt>
                <c:pt idx="2">
                  <c:v>150</c:v>
                </c:pt>
              </c:numCache>
            </c:numRef>
          </c:xVal>
          <c:yVal>
            <c:numRef>
              <c:f>'F1201&amp;04'!$K$5:$M$5</c:f>
              <c:numCache>
                <c:formatCode>General</c:formatCode>
                <c:ptCount val="3"/>
                <c:pt idx="0">
                  <c:v>80</c:v>
                </c:pt>
                <c:pt idx="1">
                  <c:v>80</c:v>
                </c:pt>
              </c:numCache>
            </c:numRef>
          </c:yVal>
          <c:smooth val="0"/>
        </c:ser>
        <c:ser>
          <c:idx val="2"/>
          <c:order val="2"/>
          <c:tx>
            <c:strRef>
              <c:f>'F1201&amp;04'!$K$9</c:f>
              <c:strCache>
                <c:ptCount val="1"/>
                <c:pt idx="0">
                  <c:v>A2</c:v>
                </c:pt>
              </c:strCache>
            </c:strRef>
          </c:tx>
          <c:spPr>
            <a:ln w="9525" cap="rnd" cmpd="sng" algn="ctr">
              <a:solidFill>
                <a:srgbClr val="000000"/>
              </a:solidFill>
              <a:prstDash val="dash"/>
              <a:round/>
              <a:headEnd type="none" w="med" len="med"/>
              <a:tailEnd type="none" w="med" len="med"/>
            </a:ln>
          </c:spPr>
          <c:marker>
            <c:symbol val="none"/>
          </c:marker>
          <c:dLbls>
            <c:dLbl>
              <c:idx val="0"/>
              <c:tx>
                <c:rich>
                  <a:bodyPr/>
                  <a:lstStyle/>
                  <a:p>
                    <a:r>
                      <a:rPr lang="en-US" b="0" i="1" baseline="0"/>
                      <a:t>A</a:t>
                    </a:r>
                    <a:r>
                      <a:rPr lang="en-US" b="0" i="0" baseline="-25000"/>
                      <a:t>2</a:t>
                    </a:r>
                  </a:p>
                </c:rich>
              </c:tx>
              <c:dLblPos val="b"/>
              <c:showLegendKey val="0"/>
              <c:showVal val="0"/>
              <c:showCatName val="0"/>
              <c:showSerName val="1"/>
              <c:showPercent val="0"/>
              <c:showBubbleSize val="0"/>
            </c:dLbl>
            <c:txPr>
              <a:bodyPr/>
              <a:lstStyle/>
              <a:p>
                <a:pPr>
                  <a:defRPr b="0" i="1"/>
                </a:pPr>
                <a:endParaRPr lang="en-US"/>
              </a:p>
            </c:txPr>
            <c:showLegendKey val="0"/>
            <c:showVal val="0"/>
            <c:showCatName val="0"/>
            <c:showSerName val="0"/>
            <c:showPercent val="0"/>
            <c:showBubbleSize val="0"/>
          </c:dLbls>
          <c:xVal>
            <c:numRef>
              <c:f>'F1201&amp;04'!$K$10:$K$11</c:f>
              <c:numCache>
                <c:formatCode>General</c:formatCode>
                <c:ptCount val="2"/>
                <c:pt idx="0">
                  <c:v>27.273</c:v>
                </c:pt>
                <c:pt idx="1">
                  <c:v>27.273</c:v>
                </c:pt>
              </c:numCache>
            </c:numRef>
          </c:xVal>
          <c:yVal>
            <c:numRef>
              <c:f>'F1201&amp;04'!$L$7:$L$8</c:f>
              <c:numCache>
                <c:formatCode>General</c:formatCode>
                <c:ptCount val="2"/>
                <c:pt idx="0">
                  <c:v>0</c:v>
                </c:pt>
                <c:pt idx="1">
                  <c:v>80</c:v>
                </c:pt>
              </c:numCache>
            </c:numRef>
          </c:yVal>
          <c:smooth val="0"/>
        </c:ser>
        <c:dLbls>
          <c:showLegendKey val="0"/>
          <c:showVal val="0"/>
          <c:showCatName val="0"/>
          <c:showSerName val="0"/>
          <c:showPercent val="0"/>
          <c:showBubbleSize val="0"/>
        </c:dLbls>
        <c:axId val="105125376"/>
        <c:axId val="105127296"/>
      </c:scatterChart>
      <c:valAx>
        <c:axId val="105125376"/>
        <c:scaling>
          <c:orientation val="minMax"/>
        </c:scaling>
        <c:delete val="0"/>
        <c:axPos val="b"/>
        <c:title>
          <c:tx>
            <c:rich>
              <a:bodyPr/>
              <a:lstStyle/>
              <a:p>
                <a:pPr>
                  <a:defRPr b="0"/>
                </a:pPr>
                <a:r>
                  <a:rPr lang="en-US" b="0"/>
                  <a:t>Abatement</a:t>
                </a:r>
              </a:p>
            </c:rich>
          </c:tx>
          <c:layout>
            <c:manualLayout>
              <c:xMode val="edge"/>
              <c:yMode val="edge"/>
              <c:x val="0.43157894736842106"/>
              <c:y val="0.8794520547945206"/>
            </c:manualLayout>
          </c:layout>
          <c:overlay val="0"/>
          <c:spPr>
            <a:noFill/>
            <a:ln w="25400">
              <a:noFill/>
            </a:ln>
          </c:spPr>
        </c:title>
        <c:numFmt formatCode="General" sourceLinked="1"/>
        <c:majorTickMark val="out"/>
        <c:minorTickMark val="none"/>
        <c:tickLblPos val="nextTo"/>
        <c:txPr>
          <a:bodyPr/>
          <a:lstStyle/>
          <a:p>
            <a:pPr>
              <a:defRPr b="0"/>
            </a:pPr>
            <a:endParaRPr lang="en-US"/>
          </a:p>
        </c:txPr>
        <c:crossAx val="105127296"/>
        <c:crosses val="autoZero"/>
        <c:crossBetween val="midCat"/>
      </c:valAx>
      <c:valAx>
        <c:axId val="105127296"/>
        <c:scaling>
          <c:orientation val="minMax"/>
          <c:max val="150"/>
          <c:min val="0"/>
        </c:scaling>
        <c:delete val="0"/>
        <c:axPos val="l"/>
        <c:numFmt formatCode="General" sourceLinked="1"/>
        <c:majorTickMark val="out"/>
        <c:minorTickMark val="none"/>
        <c:tickLblPos val="none"/>
        <c:crossAx val="10512537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02801321151132E-2"/>
          <c:y val="7.8950775144735558E-2"/>
          <c:w val="0.83380815572756917"/>
          <c:h val="0.8220363589579136"/>
        </c:manualLayout>
      </c:layout>
      <c:scatterChart>
        <c:scatterStyle val="lineMarker"/>
        <c:varyColors val="0"/>
        <c:ser>
          <c:idx val="2"/>
          <c:order val="2"/>
          <c:tx>
            <c:v>MB1</c:v>
          </c:tx>
          <c:spPr>
            <a:ln w="9525" cap="rnd" cmpd="sng" algn="ctr">
              <a:solidFill>
                <a:srgbClr val="000000"/>
              </a:solidFill>
              <a:prstDash val="solid"/>
              <a:round/>
              <a:headEnd type="none" w="med" len="med"/>
              <a:tailEnd type="none" w="med" len="med"/>
            </a:ln>
          </c:spPr>
          <c:marker>
            <c:symbol val="none"/>
          </c:marker>
          <c:dLbls>
            <c:dLbl>
              <c:idx val="0"/>
              <c:tx>
                <c:rich>
                  <a:bodyPr/>
                  <a:lstStyle/>
                  <a:p>
                    <a:r>
                      <a:rPr lang="en-US" i="1"/>
                      <a:t>MB</a:t>
                    </a:r>
                    <a:r>
                      <a:rPr lang="en-US" baseline="-25000"/>
                      <a:t>1</a:t>
                    </a:r>
                  </a:p>
                </c:rich>
              </c:tx>
              <c:showLegendKey val="0"/>
              <c:showVal val="0"/>
              <c:showCatName val="0"/>
              <c:showSerName val="1"/>
              <c:showPercent val="0"/>
              <c:showBubbleSize val="0"/>
            </c:dLbl>
            <c:dLbl>
              <c:idx val="1"/>
              <c:delete val="1"/>
            </c:dLbl>
            <c:dLbl>
              <c:idx val="2"/>
              <c:delete val="1"/>
            </c:dLbl>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'F1201&amp;04'!$E$8:$E$10</c:f>
              <c:numCache>
                <c:formatCode>General</c:formatCode>
                <c:ptCount val="3"/>
                <c:pt idx="0">
                  <c:v>150</c:v>
                </c:pt>
                <c:pt idx="1">
                  <c:v>50.000000000000014</c:v>
                </c:pt>
                <c:pt idx="2">
                  <c:v>0</c:v>
                </c:pt>
              </c:numCache>
            </c:numRef>
          </c:yVal>
          <c:smooth val="0"/>
        </c:ser>
        <c:ser>
          <c:idx val="3"/>
          <c:order val="3"/>
          <c:tx>
            <c:v>MB2</c:v>
          </c:tx>
          <c:spPr>
            <a:ln w="9525" cap="rnd" cmpd="sng" algn="ctr">
              <a:solidFill>
                <a:srgbClr val="000000"/>
              </a:solidFill>
              <a:prstDash val="solid"/>
              <a:round/>
              <a:headEnd type="none" w="med" len="med"/>
              <a:tailEnd type="none" w="med" len="med"/>
            </a:ln>
          </c:spPr>
          <c:marker>
            <c:symbol val="none"/>
          </c:marker>
          <c:dLbls>
            <c:dLbl>
              <c:idx val="0"/>
              <c:tx>
                <c:rich>
                  <a:bodyPr/>
                  <a:lstStyle/>
                  <a:p>
                    <a:r>
                      <a:rPr lang="en-US"/>
                      <a:t>MB</a:t>
                    </a:r>
                    <a:r>
                      <a:rPr lang="en-US" i="0" baseline="-25000"/>
                      <a:t>2</a:t>
                    </a:r>
                  </a:p>
                </c:rich>
              </c:tx>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'F1201&amp;04'!$B$8:$B$10</c:f>
              <c:numCache>
                <c:formatCode>General</c:formatCode>
                <c:ptCount val="3"/>
                <c:pt idx="0">
                  <c:v>0</c:v>
                </c:pt>
                <c:pt idx="1">
                  <c:v>99.999999999999986</c:v>
                </c:pt>
                <c:pt idx="2">
                  <c:v>150</c:v>
                </c:pt>
              </c:numCache>
            </c:numRef>
          </c:xVal>
          <c:yVal>
            <c:numRef>
              <c:f>'F1201&amp;04'!$F$8:$F$10</c:f>
              <c:numCache>
                <c:formatCode>General</c:formatCode>
                <c:ptCount val="3"/>
                <c:pt idx="0">
                  <c:v>110</c:v>
                </c:pt>
                <c:pt idx="1">
                  <c:v>0</c:v>
                </c:pt>
                <c:pt idx="2">
                  <c:v>0</c:v>
                </c:pt>
              </c:numCache>
            </c:numRef>
          </c:yVal>
          <c:smooth val="0"/>
        </c:ser>
        <c:ser>
          <c:idx val="4"/>
          <c:order val="4"/>
          <c:tx>
            <c:v>A1</c:v>
          </c:tx>
          <c:spPr>
            <a:ln w="9525" cap="rnd" cmpd="sng" algn="ctr">
              <a:solidFill>
                <a:srgbClr val="000000"/>
              </a:solidFill>
              <a:prstDash val="dash"/>
              <a:round/>
              <a:headEnd type="none" w="med" len="med"/>
              <a:tailEnd type="none" w="med" len="med"/>
            </a:ln>
          </c:spPr>
          <c:marker>
            <c:symbol val="none"/>
          </c:marker>
          <c:dLbls>
            <c:dLbl>
              <c:idx val="0"/>
              <c:tx>
                <c:rich>
                  <a:bodyPr/>
                  <a:lstStyle/>
                  <a:p>
                    <a:r>
                      <a:rPr lang="en-US" i="1"/>
                      <a:t>A</a:t>
                    </a:r>
                    <a:r>
                      <a:rPr lang="en-US" i="1" baseline="-25000"/>
                      <a:t>1</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'F1201&amp;04'!$K$7:$K$8</c:f>
              <c:numCache>
                <c:formatCode>General</c:formatCode>
                <c:ptCount val="2"/>
                <c:pt idx="0">
                  <c:v>70</c:v>
                </c:pt>
                <c:pt idx="1">
                  <c:v>70</c:v>
                </c:pt>
              </c:numCache>
            </c:numRef>
          </c:xVal>
          <c:yVal>
            <c:numRef>
              <c:f>'F1201&amp;04'!$L$7:$L$8</c:f>
              <c:numCache>
                <c:formatCode>General</c:formatCode>
                <c:ptCount val="2"/>
                <c:pt idx="0">
                  <c:v>0</c:v>
                </c:pt>
                <c:pt idx="1">
                  <c:v>80</c:v>
                </c:pt>
              </c:numCache>
            </c:numRef>
          </c:yVal>
          <c:smooth val="0"/>
        </c:ser>
        <c:ser>
          <c:idx val="0"/>
          <c:order val="0"/>
          <c:tx>
            <c:v>MBs</c:v>
          </c:tx>
          <c:spPr>
            <a:ln w="19050" cap="rnd" cmpd="sng" algn="ctr">
              <a:solidFill>
                <a:srgbClr val="000000"/>
              </a:solidFill>
              <a:prstDash val="solid"/>
              <a:round/>
              <a:headEnd type="none" w="med" len="med"/>
              <a:tailEnd type="none" w="med" len="med"/>
            </a:ln>
          </c:spPr>
          <c:marker>
            <c:symbol val="none"/>
          </c:marker>
          <c:dLbls>
            <c:dLbl>
              <c:idx val="0"/>
              <c:tx>
                <c:rich>
                  <a:bodyPr/>
                  <a:lstStyle/>
                  <a:p>
                    <a:r>
                      <a:rPr lang="en-US" i="1"/>
                      <a:t>MB</a:t>
                    </a:r>
                    <a:r>
                      <a:rPr lang="en-US" i="1" baseline="-25000"/>
                      <a:t>s</a:t>
                    </a:r>
                    <a:endParaRPr lang="en-US" baseline="-25000"/>
                  </a:p>
                </c:rich>
              </c:tx>
              <c:showLegendKey val="0"/>
              <c:showVal val="0"/>
              <c:showCatName val="0"/>
              <c:showSerName val="1"/>
              <c:showPercent val="0"/>
              <c:showBubbleSize val="0"/>
            </c:dLbl>
            <c:dLbl>
              <c:idx val="1"/>
              <c:delete val="1"/>
            </c:dLbl>
            <c:dLbl>
              <c:idx val="2"/>
              <c:delete val="1"/>
            </c:dLbl>
            <c:txPr>
              <a:bodyPr/>
              <a:lstStyle/>
              <a:p>
                <a:pPr>
                  <a:defRPr i="1"/>
                </a:pPr>
                <a:endParaRPr lang="en-US"/>
              </a:p>
            </c:txPr>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'F1201&amp;04'!$C$8:$C$10</c:f>
              <c:numCache>
                <c:formatCode>General</c:formatCode>
                <c:ptCount val="3"/>
                <c:pt idx="0">
                  <c:v>260</c:v>
                </c:pt>
                <c:pt idx="1">
                  <c:v>50.000000000000014</c:v>
                </c:pt>
                <c:pt idx="2">
                  <c:v>0</c:v>
                </c:pt>
              </c:numCache>
            </c:numRef>
          </c:yVal>
          <c:smooth val="0"/>
        </c:ser>
        <c:ser>
          <c:idx val="1"/>
          <c:order val="1"/>
          <c:tx>
            <c:v>MC</c:v>
          </c:tx>
          <c:spPr>
            <a:ln w="9525" cap="rnd" cmpd="sng" algn="ctr">
              <a:solidFill>
                <a:srgbClr val="000000"/>
              </a:solidFill>
              <a:prstDash val="solid"/>
              <a:round/>
              <a:headEnd type="none" w="med" len="med"/>
              <a:tailEnd type="none" w="med" len="med"/>
            </a:ln>
          </c:spPr>
          <c:marker>
            <c:symbol val="none"/>
          </c:marker>
          <c:dLbls>
            <c:dLbl>
              <c:idx val="2"/>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'F1201&amp;04'!$B$8:$B$10</c:f>
              <c:numCache>
                <c:formatCode>General</c:formatCode>
                <c:ptCount val="3"/>
                <c:pt idx="0">
                  <c:v>0</c:v>
                </c:pt>
                <c:pt idx="1">
                  <c:v>99.999999999999986</c:v>
                </c:pt>
                <c:pt idx="2">
                  <c:v>150</c:v>
                </c:pt>
              </c:numCache>
            </c:numRef>
          </c:xVal>
          <c:yVal>
            <c:numRef>
              <c:f>'F1201&amp;04'!$D$8:$D$10</c:f>
              <c:numCache>
                <c:formatCode>General</c:formatCode>
                <c:ptCount val="3"/>
                <c:pt idx="0">
                  <c:v>80</c:v>
                </c:pt>
                <c:pt idx="1">
                  <c:v>80</c:v>
                </c:pt>
                <c:pt idx="2">
                  <c:v>80</c:v>
                </c:pt>
              </c:numCache>
            </c:numRef>
          </c:yVal>
          <c:smooth val="0"/>
        </c:ser>
        <c:ser>
          <c:idx val="6"/>
          <c:order val="5"/>
          <c:tx>
            <c:v>A2</c:v>
          </c:tx>
          <c:spPr>
            <a:ln w="9525">
              <a:solidFill>
                <a:srgbClr val="000000"/>
              </a:solidFill>
              <a:prstDash val="dash"/>
            </a:ln>
          </c:spPr>
          <c:marker>
            <c:symbol val="none"/>
          </c:marker>
          <c:dLbls>
            <c:dLbl>
              <c:idx val="0"/>
              <c:tx>
                <c:rich>
                  <a:bodyPr/>
                  <a:lstStyle/>
                  <a:p>
                    <a:r>
                      <a:rPr lang="en-US" i="1"/>
                      <a:t>A</a:t>
                    </a:r>
                    <a:r>
                      <a:rPr lang="en-US" i="1" baseline="-25000"/>
                      <a:t>2</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'F1201&amp;04'!$K$10:$K$11</c:f>
              <c:numCache>
                <c:formatCode>General</c:formatCode>
                <c:ptCount val="2"/>
                <c:pt idx="0">
                  <c:v>27.273</c:v>
                </c:pt>
                <c:pt idx="1">
                  <c:v>27.273</c:v>
                </c:pt>
              </c:numCache>
            </c:numRef>
          </c:xVal>
          <c:yVal>
            <c:numRef>
              <c:f>'F1201&amp;04'!$L$10:$L$11</c:f>
              <c:numCache>
                <c:formatCode>General</c:formatCode>
                <c:ptCount val="2"/>
                <c:pt idx="0">
                  <c:v>0</c:v>
                </c:pt>
                <c:pt idx="1">
                  <c:v>80</c:v>
                </c:pt>
              </c:numCache>
            </c:numRef>
          </c:yVal>
          <c:smooth val="0"/>
        </c:ser>
        <c:ser>
          <c:idx val="5"/>
          <c:order val="6"/>
          <c:tx>
            <c:v>As</c:v>
          </c:tx>
          <c:spPr>
            <a:ln w="9525">
              <a:solidFill>
                <a:srgbClr val="000000"/>
              </a:solidFill>
              <a:prstDash val="dash"/>
            </a:ln>
          </c:spPr>
          <c:marker>
            <c:symbol val="none"/>
          </c:marker>
          <c:dLbls>
            <c:dLbl>
              <c:idx val="0"/>
              <c:layout>
                <c:manualLayout>
                  <c:x val="-2.0140389642507969E-2"/>
                  <c:y val="3.0205751240162938E-2"/>
                </c:manualLayout>
              </c:layout>
              <c:tx>
                <c:rich>
                  <a:bodyPr/>
                  <a:lstStyle/>
                  <a:p>
                    <a:r>
                      <a:rPr lang="en-US" i="1"/>
                      <a:t>A</a:t>
                    </a:r>
                    <a:r>
                      <a:rPr lang="en-US" i="1" baseline="-25000"/>
                      <a:t>s</a:t>
                    </a:r>
                    <a:endParaRPr lang="en-US" baseline="-25000"/>
                  </a:p>
                </c:rich>
              </c:tx>
              <c:dLblPos val="r"/>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'F1201&amp;04'!$K$13:$K$14</c:f>
              <c:numCache>
                <c:formatCode>General</c:formatCode>
                <c:ptCount val="2"/>
                <c:pt idx="0">
                  <c:v>85.713999999999999</c:v>
                </c:pt>
                <c:pt idx="1">
                  <c:v>85.713999999999999</c:v>
                </c:pt>
              </c:numCache>
            </c:numRef>
          </c:xVal>
          <c:yVal>
            <c:numRef>
              <c:f>'F1201&amp;04'!$L$13:$L$14</c:f>
              <c:numCache>
                <c:formatCode>General</c:formatCode>
                <c:ptCount val="2"/>
                <c:pt idx="0">
                  <c:v>0</c:v>
                </c:pt>
                <c:pt idx="1">
                  <c:v>80</c:v>
                </c:pt>
              </c:numCache>
            </c:numRef>
          </c:yVal>
          <c:smooth val="0"/>
        </c:ser>
        <c:dLbls>
          <c:showLegendKey val="0"/>
          <c:showVal val="0"/>
          <c:showCatName val="0"/>
          <c:showSerName val="0"/>
          <c:showPercent val="0"/>
          <c:showBubbleSize val="0"/>
        </c:dLbls>
        <c:axId val="105180160"/>
        <c:axId val="111367296"/>
      </c:scatterChart>
      <c:valAx>
        <c:axId val="105180160"/>
        <c:scaling>
          <c:orientation val="minMax"/>
          <c:max val="160"/>
        </c:scaling>
        <c:delete val="0"/>
        <c:axPos val="b"/>
        <c:title>
          <c:tx>
            <c:rich>
              <a:bodyPr/>
              <a:lstStyle/>
              <a:p>
                <a:pPr>
                  <a:defRPr sz="1200" b="0" i="0" u="none" strike="noStrike" baseline="0">
                    <a:solidFill>
                      <a:srgbClr val="000000"/>
                    </a:solidFill>
                    <a:latin typeface="Times New Roman"/>
                    <a:ea typeface="Times New Roman"/>
                    <a:cs typeface="Times New Roman"/>
                  </a:defRPr>
                </a:pPr>
                <a:r>
                  <a:rPr lang="en-US" b="0"/>
                  <a:t>Abatement</a:t>
                </a:r>
              </a:p>
            </c:rich>
          </c:tx>
          <c:layout>
            <c:manualLayout>
              <c:xMode val="edge"/>
              <c:yMode val="edge"/>
              <c:x val="0.77208282387964478"/>
              <c:y val="0.90986050252039163"/>
            </c:manualLayout>
          </c:layout>
          <c:overlay val="0"/>
          <c:spPr>
            <a:noFill/>
            <a:ln w="25400">
              <a:noFill/>
            </a:ln>
          </c:spPr>
        </c:title>
        <c:numFmt formatCode="General" sourceLinked="1"/>
        <c:majorTickMark val="out"/>
        <c:minorTickMark val="none"/>
        <c:tickLblPos val="none"/>
        <c:txPr>
          <a:bodyPr/>
          <a:lstStyle/>
          <a:p>
            <a:pPr>
              <a:defRPr sz="1200">
                <a:latin typeface="Times New Roman"/>
                <a:ea typeface="Times New Roman"/>
                <a:cs typeface="Times New Roman"/>
              </a:defRPr>
            </a:pPr>
            <a:endParaRPr lang="en-US"/>
          </a:p>
        </c:txPr>
        <c:crossAx val="111367296"/>
        <c:crosses val="autoZero"/>
        <c:crossBetween val="midCat"/>
      </c:valAx>
      <c:valAx>
        <c:axId val="111367296"/>
        <c:scaling>
          <c:orientation val="minMax"/>
        </c:scaling>
        <c:delete val="0"/>
        <c:axPos val="l"/>
        <c:title>
          <c:tx>
            <c:rich>
              <a:bodyPr rot="0" vert="wordArtVert"/>
              <a:lstStyle/>
              <a:p>
                <a:pPr>
                  <a:defRPr/>
                </a:pPr>
                <a:r>
                  <a:rPr lang="en-US"/>
                  <a:t>$</a:t>
                </a:r>
              </a:p>
            </c:rich>
          </c:tx>
          <c:layout>
            <c:manualLayout>
              <c:xMode val="edge"/>
              <c:yMode val="edge"/>
              <c:x val="5.0326272131048282E-2"/>
              <c:y val="0.2311827391286557"/>
            </c:manualLayout>
          </c:layout>
          <c:overlay val="0"/>
        </c:title>
        <c:numFmt formatCode="General" sourceLinked="1"/>
        <c:majorTickMark val="out"/>
        <c:minorTickMark val="none"/>
        <c:tickLblPos val="none"/>
        <c:txPr>
          <a:bodyPr/>
          <a:lstStyle/>
          <a:p>
            <a:pPr>
              <a:defRPr sz="1200">
                <a:latin typeface="Times New Roman"/>
                <a:ea typeface="Times New Roman"/>
                <a:cs typeface="Times New Roman"/>
              </a:defRPr>
            </a:pPr>
            <a:endParaRPr lang="en-US"/>
          </a:p>
        </c:txPr>
        <c:crossAx val="105180160"/>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3817909502535E-2"/>
          <c:y val="7.8950775144735558E-2"/>
          <c:w val="0.83380815572756917"/>
          <c:h val="0.8220363589579136"/>
        </c:manualLayout>
      </c:layout>
      <c:scatterChart>
        <c:scatterStyle val="lineMarker"/>
        <c:varyColors val="0"/>
        <c:ser>
          <c:idx val="2"/>
          <c:order val="2"/>
          <c:tx>
            <c:v>MB1</c:v>
          </c:tx>
          <c:spPr>
            <a:ln w="9525" cap="rnd" cmpd="sng" algn="ctr">
              <a:solidFill>
                <a:srgbClr val="000000"/>
              </a:solidFill>
              <a:prstDash val="solid"/>
              <a:round/>
              <a:headEnd type="none" w="med" len="med"/>
              <a:tailEnd type="none" w="med" len="med"/>
            </a:ln>
          </c:spPr>
          <c:marker>
            <c:symbol val="none"/>
          </c:marker>
          <c:dLbls>
            <c:dLbl>
              <c:idx val="0"/>
              <c:tx>
                <c:rich>
                  <a:bodyPr/>
                  <a:lstStyle/>
                  <a:p>
                    <a:r>
                      <a:rPr lang="en-US" i="1"/>
                      <a:t>MB</a:t>
                    </a:r>
                    <a:r>
                      <a:rPr lang="en-US" baseline="-25000"/>
                      <a:t>1</a:t>
                    </a:r>
                  </a:p>
                </c:rich>
              </c:tx>
              <c:showLegendKey val="0"/>
              <c:showVal val="0"/>
              <c:showCatName val="0"/>
              <c:showSerName val="1"/>
              <c:showPercent val="0"/>
              <c:showBubbleSize val="0"/>
            </c:dLbl>
            <c:dLbl>
              <c:idx val="1"/>
              <c:delete val="1"/>
            </c:dLbl>
            <c:dLbl>
              <c:idx val="2"/>
              <c:delete val="1"/>
            </c:dLbl>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'F1201&amp;04'!$E$8:$E$10</c:f>
              <c:numCache>
                <c:formatCode>General</c:formatCode>
                <c:ptCount val="3"/>
                <c:pt idx="0">
                  <c:v>150</c:v>
                </c:pt>
                <c:pt idx="1">
                  <c:v>50.000000000000014</c:v>
                </c:pt>
                <c:pt idx="2">
                  <c:v>0</c:v>
                </c:pt>
              </c:numCache>
            </c:numRef>
          </c:yVal>
          <c:smooth val="0"/>
        </c:ser>
        <c:ser>
          <c:idx val="0"/>
          <c:order val="0"/>
          <c:tx>
            <c:v>MBs</c:v>
          </c:tx>
          <c:spPr>
            <a:ln w="19050" cap="rnd" cmpd="sng" algn="ctr">
              <a:solidFill>
                <a:srgbClr val="000000"/>
              </a:solidFill>
              <a:prstDash val="solid"/>
              <a:round/>
              <a:headEnd type="none" w="med" len="med"/>
              <a:tailEnd type="none" w="med" len="med"/>
            </a:ln>
          </c:spPr>
          <c:marker>
            <c:symbol val="none"/>
          </c:marker>
          <c:dLbls>
            <c:dLbl>
              <c:idx val="0"/>
              <c:tx>
                <c:rich>
                  <a:bodyPr/>
                  <a:lstStyle/>
                  <a:p>
                    <a:r>
                      <a:rPr lang="en-US" i="1"/>
                      <a:t>MB</a:t>
                    </a:r>
                    <a:r>
                      <a:rPr lang="en-US" i="1" baseline="-25000"/>
                      <a:t>s</a:t>
                    </a:r>
                    <a:endParaRPr lang="en-US" baseline="-25000"/>
                  </a:p>
                </c:rich>
              </c:tx>
              <c:showLegendKey val="0"/>
              <c:showVal val="0"/>
              <c:showCatName val="0"/>
              <c:showSerName val="1"/>
              <c:showPercent val="0"/>
              <c:showBubbleSize val="0"/>
            </c:dLbl>
            <c:dLbl>
              <c:idx val="1"/>
              <c:delete val="1"/>
            </c:dLbl>
            <c:dLbl>
              <c:idx val="2"/>
              <c:delete val="1"/>
            </c:dLbl>
            <c:txPr>
              <a:bodyPr/>
              <a:lstStyle/>
              <a:p>
                <a:pPr>
                  <a:defRPr i="1"/>
                </a:pPr>
                <a:endParaRPr lang="en-US"/>
              </a:p>
            </c:txPr>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'F1201&amp;04'!$C$8:$C$10</c:f>
              <c:numCache>
                <c:formatCode>General</c:formatCode>
                <c:ptCount val="3"/>
                <c:pt idx="0">
                  <c:v>260</c:v>
                </c:pt>
                <c:pt idx="1">
                  <c:v>50.000000000000014</c:v>
                </c:pt>
                <c:pt idx="2">
                  <c:v>0</c:v>
                </c:pt>
              </c:numCache>
            </c:numRef>
          </c:yVal>
          <c:smooth val="0"/>
        </c:ser>
        <c:ser>
          <c:idx val="1"/>
          <c:order val="1"/>
          <c:tx>
            <c:v>MC</c:v>
          </c:tx>
          <c:spPr>
            <a:ln w="9525" cap="rnd" cmpd="sng" algn="ctr">
              <a:solidFill>
                <a:srgbClr val="000000"/>
              </a:solidFill>
              <a:prstDash val="solid"/>
              <a:round/>
              <a:headEnd type="none" w="med" len="med"/>
              <a:tailEnd type="none" w="med" len="med"/>
            </a:ln>
          </c:spPr>
          <c:marker>
            <c:symbol val="none"/>
          </c:marker>
          <c:dLbls>
            <c:dLbl>
              <c:idx val="2"/>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'F1201&amp;04'!$B$8:$B$10</c:f>
              <c:numCache>
                <c:formatCode>General</c:formatCode>
                <c:ptCount val="3"/>
                <c:pt idx="0">
                  <c:v>0</c:v>
                </c:pt>
                <c:pt idx="1">
                  <c:v>99.999999999999986</c:v>
                </c:pt>
                <c:pt idx="2">
                  <c:v>150</c:v>
                </c:pt>
              </c:numCache>
            </c:numRef>
          </c:xVal>
          <c:yVal>
            <c:numRef>
              <c:f>'F1201&amp;04'!$D$8:$D$10</c:f>
              <c:numCache>
                <c:formatCode>General</c:formatCode>
                <c:ptCount val="3"/>
                <c:pt idx="0">
                  <c:v>80</c:v>
                </c:pt>
                <c:pt idx="1">
                  <c:v>80</c:v>
                </c:pt>
                <c:pt idx="2">
                  <c:v>80</c:v>
                </c:pt>
              </c:numCache>
            </c:numRef>
          </c:yVal>
          <c:smooth val="0"/>
        </c:ser>
        <c:ser>
          <c:idx val="6"/>
          <c:order val="3"/>
          <c:tx>
            <c:v>Ap</c:v>
          </c:tx>
          <c:spPr>
            <a:ln w="9525">
              <a:solidFill>
                <a:srgbClr val="000000"/>
              </a:solidFill>
              <a:prstDash val="dash"/>
            </a:ln>
          </c:spPr>
          <c:marker>
            <c:symbol val="none"/>
          </c:marker>
          <c:dLbls>
            <c:dLbl>
              <c:idx val="0"/>
              <c:tx>
                <c:rich>
                  <a:bodyPr/>
                  <a:lstStyle/>
                  <a:p>
                    <a:r>
                      <a:rPr lang="en-US" i="1"/>
                      <a:t>A</a:t>
                    </a:r>
                    <a:r>
                      <a:rPr lang="en-US" i="1" baseline="-25000"/>
                      <a:t>p</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'F1201&amp;04'!$K$10:$K$11</c:f>
              <c:numCache>
                <c:formatCode>General</c:formatCode>
                <c:ptCount val="2"/>
                <c:pt idx="0">
                  <c:v>27.273</c:v>
                </c:pt>
                <c:pt idx="1">
                  <c:v>27.273</c:v>
                </c:pt>
              </c:numCache>
            </c:numRef>
          </c:xVal>
          <c:yVal>
            <c:numRef>
              <c:f>'F1201&amp;04'!$L$10:$L$11</c:f>
              <c:numCache>
                <c:formatCode>General</c:formatCode>
                <c:ptCount val="2"/>
                <c:pt idx="0">
                  <c:v>0</c:v>
                </c:pt>
                <c:pt idx="1">
                  <c:v>80</c:v>
                </c:pt>
              </c:numCache>
            </c:numRef>
          </c:yVal>
          <c:smooth val="0"/>
        </c:ser>
        <c:ser>
          <c:idx val="5"/>
          <c:order val="4"/>
          <c:tx>
            <c:v>As</c:v>
          </c:tx>
          <c:spPr>
            <a:ln w="9525">
              <a:solidFill>
                <a:srgbClr val="000000"/>
              </a:solidFill>
              <a:prstDash val="dash"/>
            </a:ln>
          </c:spPr>
          <c:marker>
            <c:symbol val="none"/>
          </c:marker>
          <c:dLbls>
            <c:dLbl>
              <c:idx val="0"/>
              <c:layout>
                <c:manualLayout>
                  <c:x val="-2.0140389642507969E-2"/>
                  <c:y val="3.0205751240162938E-2"/>
                </c:manualLayout>
              </c:layout>
              <c:tx>
                <c:rich>
                  <a:bodyPr/>
                  <a:lstStyle/>
                  <a:p>
                    <a:r>
                      <a:rPr lang="en-US" i="1"/>
                      <a:t>A</a:t>
                    </a:r>
                    <a:r>
                      <a:rPr lang="en-US" i="1" baseline="-25000"/>
                      <a:t>s</a:t>
                    </a:r>
                    <a:endParaRPr lang="en-US" baseline="-25000"/>
                  </a:p>
                </c:rich>
              </c:tx>
              <c:dLblPos val="r"/>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'F1201&amp;04'!$K$13:$K$14</c:f>
              <c:numCache>
                <c:formatCode>General</c:formatCode>
                <c:ptCount val="2"/>
                <c:pt idx="0">
                  <c:v>85.713999999999999</c:v>
                </c:pt>
                <c:pt idx="1">
                  <c:v>85.713999999999999</c:v>
                </c:pt>
              </c:numCache>
            </c:numRef>
          </c:xVal>
          <c:yVal>
            <c:numRef>
              <c:f>'F1201&amp;04'!$L$13:$L$14</c:f>
              <c:numCache>
                <c:formatCode>General</c:formatCode>
                <c:ptCount val="2"/>
                <c:pt idx="0">
                  <c:v>0</c:v>
                </c:pt>
                <c:pt idx="1">
                  <c:v>80</c:v>
                </c:pt>
              </c:numCache>
            </c:numRef>
          </c:yVal>
          <c:smooth val="0"/>
        </c:ser>
        <c:ser>
          <c:idx val="3"/>
          <c:order val="5"/>
          <c:tx>
            <c:strRef>
              <c:f>'F1201&amp;04'!$K$16</c:f>
              <c:strCache>
                <c:ptCount val="1"/>
                <c:pt idx="0">
                  <c:v>a</c:v>
                </c:pt>
              </c:strCache>
            </c:strRef>
          </c:tx>
          <c:marker>
            <c:symbol val="none"/>
          </c:marker>
          <c:dLbls>
            <c:showLegendKey val="0"/>
            <c:showVal val="0"/>
            <c:showCatName val="0"/>
            <c:showSerName val="1"/>
            <c:showPercent val="0"/>
            <c:showBubbleSize val="0"/>
            <c:showLeaderLines val="0"/>
          </c:dLbls>
          <c:xVal>
            <c:numRef>
              <c:f>'F1201&amp;04'!$L$16</c:f>
              <c:numCache>
                <c:formatCode>General</c:formatCode>
                <c:ptCount val="1"/>
                <c:pt idx="0">
                  <c:v>27</c:v>
                </c:pt>
              </c:numCache>
            </c:numRef>
          </c:xVal>
          <c:yVal>
            <c:numRef>
              <c:f>'F1201&amp;04'!$M$16</c:f>
              <c:numCache>
                <c:formatCode>General</c:formatCode>
                <c:ptCount val="1"/>
                <c:pt idx="0">
                  <c:v>205</c:v>
                </c:pt>
              </c:numCache>
            </c:numRef>
          </c:yVal>
          <c:smooth val="0"/>
        </c:ser>
        <c:ser>
          <c:idx val="4"/>
          <c:order val="6"/>
          <c:tx>
            <c:strRef>
              <c:f>'F1201&amp;04'!$K$17</c:f>
              <c:strCache>
                <c:ptCount val="1"/>
                <c:pt idx="0">
                  <c:v>b</c:v>
                </c:pt>
              </c:strCache>
            </c:strRef>
          </c:tx>
          <c:marker>
            <c:symbol val="none"/>
          </c:marker>
          <c:dLbls>
            <c:showLegendKey val="0"/>
            <c:showVal val="0"/>
            <c:showCatName val="0"/>
            <c:showSerName val="1"/>
            <c:showPercent val="0"/>
            <c:showBubbleSize val="0"/>
            <c:showLeaderLines val="0"/>
          </c:dLbls>
          <c:xVal>
            <c:numRef>
              <c:f>'F1201&amp;04'!$L$17</c:f>
              <c:numCache>
                <c:formatCode>General</c:formatCode>
                <c:ptCount val="1"/>
                <c:pt idx="0">
                  <c:v>27</c:v>
                </c:pt>
              </c:numCache>
            </c:numRef>
          </c:xVal>
          <c:yVal>
            <c:numRef>
              <c:f>'F1201&amp;04'!$M$17</c:f>
              <c:numCache>
                <c:formatCode>General</c:formatCode>
                <c:ptCount val="1"/>
                <c:pt idx="0">
                  <c:v>87</c:v>
                </c:pt>
              </c:numCache>
            </c:numRef>
          </c:yVal>
          <c:smooth val="0"/>
        </c:ser>
        <c:ser>
          <c:idx val="7"/>
          <c:order val="7"/>
          <c:tx>
            <c:strRef>
              <c:f>'F1201&amp;04'!$K$18</c:f>
              <c:strCache>
                <c:ptCount val="1"/>
                <c:pt idx="0">
                  <c:v>c</c:v>
                </c:pt>
              </c:strCache>
            </c:strRef>
          </c:tx>
          <c:marker>
            <c:symbol val="none"/>
          </c:marker>
          <c:dLbls>
            <c:dLbl>
              <c:idx val="0"/>
              <c:showLegendKey val="0"/>
              <c:showVal val="0"/>
              <c:showCatName val="0"/>
              <c:showSerName val="1"/>
              <c:showPercent val="0"/>
              <c:showBubbleSize val="0"/>
            </c:dLbl>
            <c:showLegendKey val="0"/>
            <c:showVal val="0"/>
            <c:showCatName val="0"/>
            <c:showSerName val="0"/>
            <c:showPercent val="0"/>
            <c:showBubbleSize val="0"/>
          </c:dLbls>
          <c:xVal>
            <c:numRef>
              <c:f>'F1201&amp;04'!$L$18</c:f>
              <c:numCache>
                <c:formatCode>General</c:formatCode>
                <c:ptCount val="1"/>
                <c:pt idx="0">
                  <c:v>83</c:v>
                </c:pt>
              </c:numCache>
            </c:numRef>
          </c:xVal>
          <c:yVal>
            <c:numRef>
              <c:f>'F1201&amp;04'!$M$18</c:f>
              <c:numCache>
                <c:formatCode>General</c:formatCode>
                <c:ptCount val="1"/>
                <c:pt idx="0">
                  <c:v>87</c:v>
                </c:pt>
              </c:numCache>
            </c:numRef>
          </c:yVal>
          <c:smooth val="0"/>
        </c:ser>
        <c:dLbls>
          <c:showLegendKey val="0"/>
          <c:showVal val="0"/>
          <c:showCatName val="0"/>
          <c:showSerName val="0"/>
          <c:showPercent val="0"/>
          <c:showBubbleSize val="0"/>
        </c:dLbls>
        <c:axId val="111487232"/>
        <c:axId val="111497600"/>
      </c:scatterChart>
      <c:valAx>
        <c:axId val="111487232"/>
        <c:scaling>
          <c:orientation val="minMax"/>
          <c:max val="160"/>
        </c:scaling>
        <c:delete val="0"/>
        <c:axPos val="b"/>
        <c:title>
          <c:tx>
            <c:rich>
              <a:bodyPr/>
              <a:lstStyle/>
              <a:p>
                <a:pPr>
                  <a:defRPr sz="1200" b="0" i="0" u="none" strike="noStrike" baseline="0">
                    <a:solidFill>
                      <a:srgbClr val="000000"/>
                    </a:solidFill>
                    <a:latin typeface="Times New Roman"/>
                    <a:ea typeface="Times New Roman"/>
                    <a:cs typeface="Times New Roman"/>
                  </a:defRPr>
                </a:pPr>
                <a:r>
                  <a:rPr lang="en-US" b="0"/>
                  <a:t>Abatement</a:t>
                </a:r>
              </a:p>
            </c:rich>
          </c:tx>
          <c:layout>
            <c:manualLayout>
              <c:xMode val="edge"/>
              <c:yMode val="edge"/>
              <c:x val="0.77208282387964478"/>
              <c:y val="0.90986050252039163"/>
            </c:manualLayout>
          </c:layout>
          <c:overlay val="0"/>
          <c:spPr>
            <a:noFill/>
            <a:ln w="25400">
              <a:noFill/>
            </a:ln>
          </c:spPr>
        </c:title>
        <c:numFmt formatCode="General" sourceLinked="1"/>
        <c:majorTickMark val="out"/>
        <c:minorTickMark val="none"/>
        <c:tickLblPos val="none"/>
        <c:txPr>
          <a:bodyPr/>
          <a:lstStyle/>
          <a:p>
            <a:pPr>
              <a:defRPr sz="1200">
                <a:latin typeface="Times New Roman"/>
                <a:ea typeface="Times New Roman"/>
                <a:cs typeface="Times New Roman"/>
              </a:defRPr>
            </a:pPr>
            <a:endParaRPr lang="en-US"/>
          </a:p>
        </c:txPr>
        <c:crossAx val="111497600"/>
        <c:crosses val="autoZero"/>
        <c:crossBetween val="midCat"/>
      </c:valAx>
      <c:valAx>
        <c:axId val="111497600"/>
        <c:scaling>
          <c:orientation val="minMax"/>
        </c:scaling>
        <c:delete val="0"/>
        <c:axPos val="l"/>
        <c:title>
          <c:tx>
            <c:rich>
              <a:bodyPr rot="0" vert="wordArtVert"/>
              <a:lstStyle/>
              <a:p>
                <a:pPr>
                  <a:defRPr/>
                </a:pPr>
                <a:r>
                  <a:rPr lang="en-US"/>
                  <a:t>$</a:t>
                </a:r>
              </a:p>
            </c:rich>
          </c:tx>
          <c:layout>
            <c:manualLayout>
              <c:xMode val="edge"/>
              <c:yMode val="edge"/>
              <c:x val="5.0326272131048282E-2"/>
              <c:y val="0.2311827391286557"/>
            </c:manualLayout>
          </c:layout>
          <c:overlay val="0"/>
        </c:title>
        <c:numFmt formatCode="General" sourceLinked="1"/>
        <c:majorTickMark val="out"/>
        <c:minorTickMark val="none"/>
        <c:tickLblPos val="none"/>
        <c:txPr>
          <a:bodyPr/>
          <a:lstStyle/>
          <a:p>
            <a:pPr>
              <a:defRPr sz="1200">
                <a:latin typeface="Times New Roman"/>
                <a:ea typeface="Times New Roman"/>
                <a:cs typeface="Times New Roman"/>
              </a:defRPr>
            </a:pPr>
            <a:endParaRPr lang="en-US"/>
          </a:p>
        </c:txPr>
        <c:crossAx val="111487232"/>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6884676871777"/>
          <c:y val="0.1194954234781566"/>
          <c:w val="0.75014988917215408"/>
          <c:h val="0.63553098457347623"/>
        </c:manualLayout>
      </c:layout>
      <c:scatterChart>
        <c:scatterStyle val="lineMarker"/>
        <c:varyColors val="0"/>
        <c:ser>
          <c:idx val="2"/>
          <c:order val="2"/>
          <c:tx>
            <c:v>MB1</c:v>
          </c:tx>
          <c:spPr>
            <a:ln w="9525" cap="rnd" cmpd="sng" algn="ctr">
              <a:solidFill>
                <a:srgbClr val="000000"/>
              </a:solidFill>
              <a:prstDash val="solid"/>
              <a:round/>
              <a:headEnd type="none" w="med" len="med"/>
              <a:tailEnd type="none" w="med" len="med"/>
            </a:ln>
          </c:spPr>
          <c:marker>
            <c:symbol val="none"/>
          </c:marker>
          <c:dLbls>
            <c:dLbl>
              <c:idx val="0"/>
              <c:tx>
                <c:rich>
                  <a:bodyPr/>
                  <a:lstStyle/>
                  <a:p>
                    <a:r>
                      <a:rPr lang="en-US"/>
                      <a:t>MB</a:t>
                    </a:r>
                    <a:r>
                      <a:rPr lang="en-US" baseline="-25000"/>
                      <a:t>1</a:t>
                    </a:r>
                  </a:p>
                </c:rich>
              </c:tx>
              <c:showLegendKey val="0"/>
              <c:showVal val="0"/>
              <c:showCatName val="0"/>
              <c:showSerName val="1"/>
              <c:showPercent val="0"/>
              <c:showBubbleSize val="0"/>
            </c:dLbl>
            <c:dLbl>
              <c:idx val="1"/>
              <c:delete val="1"/>
            </c:dLbl>
            <c:dLbl>
              <c:idx val="2"/>
              <c:delete val="1"/>
            </c:dLbl>
            <c:txPr>
              <a:bodyPr/>
              <a:lstStyle/>
              <a:p>
                <a:pPr>
                  <a:defRPr i="1"/>
                </a:pPr>
                <a:endParaRPr lang="en-US"/>
              </a:p>
            </c:txPr>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'F1201&amp;04'!$E$8:$E$10</c:f>
              <c:numCache>
                <c:formatCode>General</c:formatCode>
                <c:ptCount val="3"/>
                <c:pt idx="0">
                  <c:v>150</c:v>
                </c:pt>
                <c:pt idx="1">
                  <c:v>50.000000000000014</c:v>
                </c:pt>
                <c:pt idx="2">
                  <c:v>0</c:v>
                </c:pt>
              </c:numCache>
            </c:numRef>
          </c:yVal>
          <c:smooth val="0"/>
        </c:ser>
        <c:ser>
          <c:idx val="3"/>
          <c:order val="3"/>
          <c:tx>
            <c:v>MB2</c:v>
          </c:tx>
          <c:spPr>
            <a:ln w="9525" cap="rnd" cmpd="sng" algn="ctr">
              <a:solidFill>
                <a:srgbClr val="000000"/>
              </a:solidFill>
              <a:prstDash val="solid"/>
              <a:round/>
              <a:headEnd type="none" w="med" len="med"/>
              <a:tailEnd type="none" w="med" len="med"/>
            </a:ln>
          </c:spPr>
          <c:marker>
            <c:symbol val="none"/>
          </c:marker>
          <c:dLbls>
            <c:dLbl>
              <c:idx val="0"/>
              <c:tx>
                <c:rich>
                  <a:bodyPr/>
                  <a:lstStyle/>
                  <a:p>
                    <a:r>
                      <a:rPr lang="en-US"/>
                      <a:t>MB</a:t>
                    </a:r>
                    <a:r>
                      <a:rPr lang="en-US" baseline="-25000"/>
                      <a:t>2</a:t>
                    </a:r>
                  </a:p>
                </c:rich>
              </c:tx>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'F1201&amp;04'!$B$8:$B$10</c:f>
              <c:numCache>
                <c:formatCode>General</c:formatCode>
                <c:ptCount val="3"/>
                <c:pt idx="0">
                  <c:v>0</c:v>
                </c:pt>
                <c:pt idx="1">
                  <c:v>99.999999999999986</c:v>
                </c:pt>
                <c:pt idx="2">
                  <c:v>150</c:v>
                </c:pt>
              </c:numCache>
            </c:numRef>
          </c:xVal>
          <c:yVal>
            <c:numRef>
              <c:f>'F1201&amp;04'!$F$8:$F$10</c:f>
              <c:numCache>
                <c:formatCode>General</c:formatCode>
                <c:ptCount val="3"/>
                <c:pt idx="0">
                  <c:v>110</c:v>
                </c:pt>
                <c:pt idx="1">
                  <c:v>0</c:v>
                </c:pt>
                <c:pt idx="2">
                  <c:v>0</c:v>
                </c:pt>
              </c:numCache>
            </c:numRef>
          </c:yVal>
          <c:smooth val="0"/>
        </c:ser>
        <c:ser>
          <c:idx val="4"/>
          <c:order val="4"/>
          <c:tx>
            <c:v>A1</c:v>
          </c:tx>
          <c:spPr>
            <a:ln w="9525" cap="rnd" cmpd="sng" algn="ctr">
              <a:solidFill>
                <a:srgbClr val="000000"/>
              </a:solidFill>
              <a:prstDash val="dash"/>
              <a:round/>
              <a:headEnd type="none" w="med" len="med"/>
              <a:tailEnd type="none" w="med" len="med"/>
            </a:ln>
          </c:spPr>
          <c:marker>
            <c:symbol val="none"/>
          </c:marker>
          <c:dLbls>
            <c:dLbl>
              <c:idx val="0"/>
              <c:tx>
                <c:rich>
                  <a:bodyPr/>
                  <a:lstStyle/>
                  <a:p>
                    <a:r>
                      <a:rPr lang="en-US" i="1"/>
                      <a:t>A</a:t>
                    </a:r>
                    <a:r>
                      <a:rPr lang="en-US" i="1" baseline="-25000"/>
                      <a:t>1</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'F1201&amp;04'!$K$7:$K$8</c:f>
              <c:numCache>
                <c:formatCode>General</c:formatCode>
                <c:ptCount val="2"/>
                <c:pt idx="0">
                  <c:v>70</c:v>
                </c:pt>
                <c:pt idx="1">
                  <c:v>70</c:v>
                </c:pt>
              </c:numCache>
            </c:numRef>
          </c:xVal>
          <c:yVal>
            <c:numRef>
              <c:f>'F1201&amp;04'!$L$7:$L$8</c:f>
              <c:numCache>
                <c:formatCode>General</c:formatCode>
                <c:ptCount val="2"/>
                <c:pt idx="0">
                  <c:v>0</c:v>
                </c:pt>
                <c:pt idx="1">
                  <c:v>80</c:v>
                </c:pt>
              </c:numCache>
            </c:numRef>
          </c:yVal>
          <c:smooth val="0"/>
        </c:ser>
        <c:ser>
          <c:idx val="0"/>
          <c:order val="0"/>
          <c:tx>
            <c:v>MBs</c:v>
          </c:tx>
          <c:spPr>
            <a:ln w="19050" cap="rnd" cmpd="sng" algn="ctr">
              <a:solidFill>
                <a:srgbClr val="000000"/>
              </a:solidFill>
              <a:prstDash val="solid"/>
              <a:round/>
              <a:headEnd type="none" w="med" len="med"/>
              <a:tailEnd type="none" w="med" len="med"/>
            </a:ln>
          </c:spPr>
          <c:marker>
            <c:symbol val="none"/>
          </c:marker>
          <c:dLbls>
            <c:dLbl>
              <c:idx val="0"/>
              <c:tx>
                <c:rich>
                  <a:bodyPr/>
                  <a:lstStyle/>
                  <a:p>
                    <a:r>
                      <a:rPr lang="en-US"/>
                      <a:t>MB</a:t>
                    </a:r>
                    <a:r>
                      <a:rPr lang="en-US" baseline="-25000"/>
                      <a:t>s</a:t>
                    </a:r>
                  </a:p>
                </c:rich>
              </c:tx>
              <c:showLegendKey val="0"/>
              <c:showVal val="0"/>
              <c:showCatName val="0"/>
              <c:showSerName val="1"/>
              <c:showPercent val="0"/>
              <c:showBubbleSize val="0"/>
            </c:dLbl>
            <c:dLbl>
              <c:idx val="1"/>
              <c:delete val="1"/>
            </c:dLbl>
            <c:dLbl>
              <c:idx val="2"/>
              <c:delete val="1"/>
            </c:dLbl>
            <c:txPr>
              <a:bodyPr/>
              <a:lstStyle/>
              <a:p>
                <a:pPr>
                  <a:defRPr i="1"/>
                </a:pPr>
                <a:endParaRPr lang="en-US"/>
              </a:p>
            </c:txPr>
            <c:showLegendKey val="0"/>
            <c:showVal val="0"/>
            <c:showCatName val="0"/>
            <c:showSerName val="1"/>
            <c:showPercent val="0"/>
            <c:showBubbleSize val="0"/>
            <c:showLeaderLines val="0"/>
          </c:dLbls>
          <c:xVal>
            <c:numRef>
              <c:f>'F1201&amp;04'!$B$8:$B$10</c:f>
              <c:numCache>
                <c:formatCode>General</c:formatCode>
                <c:ptCount val="3"/>
                <c:pt idx="0">
                  <c:v>0</c:v>
                </c:pt>
                <c:pt idx="1">
                  <c:v>99.999999999999986</c:v>
                </c:pt>
                <c:pt idx="2">
                  <c:v>150</c:v>
                </c:pt>
              </c:numCache>
            </c:numRef>
          </c:xVal>
          <c:yVal>
            <c:numRef>
              <c:f>'F1201&amp;04'!$C$8:$C$10</c:f>
              <c:numCache>
                <c:formatCode>General</c:formatCode>
                <c:ptCount val="3"/>
                <c:pt idx="0">
                  <c:v>260</c:v>
                </c:pt>
                <c:pt idx="1">
                  <c:v>50.000000000000014</c:v>
                </c:pt>
                <c:pt idx="2">
                  <c:v>0</c:v>
                </c:pt>
              </c:numCache>
            </c:numRef>
          </c:yVal>
          <c:smooth val="0"/>
        </c:ser>
        <c:ser>
          <c:idx val="1"/>
          <c:order val="1"/>
          <c:tx>
            <c:v>MC</c:v>
          </c:tx>
          <c:spPr>
            <a:ln w="9525" cap="rnd" cmpd="sng" algn="ctr">
              <a:solidFill>
                <a:srgbClr val="000000"/>
              </a:solidFill>
              <a:prstDash val="solid"/>
              <a:round/>
              <a:headEnd type="none" w="med" len="med"/>
              <a:tailEnd type="none" w="med" len="med"/>
            </a:ln>
          </c:spPr>
          <c:marker>
            <c:symbol val="none"/>
          </c:marker>
          <c:dLbls>
            <c:dLbl>
              <c:idx val="2"/>
              <c:showLegendKey val="0"/>
              <c:showVal val="0"/>
              <c:showCatName val="0"/>
              <c:showSerName val="1"/>
              <c:showPercent val="0"/>
              <c:showBubbleSize val="0"/>
            </c:dLbl>
            <c:txPr>
              <a:bodyPr/>
              <a:lstStyle/>
              <a:p>
                <a:pPr>
                  <a:defRPr i="1"/>
                </a:pPr>
                <a:endParaRPr lang="en-US"/>
              </a:p>
            </c:txPr>
            <c:showLegendKey val="0"/>
            <c:showVal val="0"/>
            <c:showCatName val="0"/>
            <c:showSerName val="0"/>
            <c:showPercent val="0"/>
            <c:showBubbleSize val="0"/>
          </c:dLbls>
          <c:xVal>
            <c:numRef>
              <c:f>'F1201&amp;04'!$B$8:$B$10</c:f>
              <c:numCache>
                <c:formatCode>General</c:formatCode>
                <c:ptCount val="3"/>
                <c:pt idx="0">
                  <c:v>0</c:v>
                </c:pt>
                <c:pt idx="1">
                  <c:v>99.999999999999986</c:v>
                </c:pt>
                <c:pt idx="2">
                  <c:v>150</c:v>
                </c:pt>
              </c:numCache>
            </c:numRef>
          </c:xVal>
          <c:yVal>
            <c:numRef>
              <c:f>'F1201&amp;04'!$D$8:$D$10</c:f>
              <c:numCache>
                <c:formatCode>General</c:formatCode>
                <c:ptCount val="3"/>
                <c:pt idx="0">
                  <c:v>80</c:v>
                </c:pt>
                <c:pt idx="1">
                  <c:v>80</c:v>
                </c:pt>
                <c:pt idx="2">
                  <c:v>80</c:v>
                </c:pt>
              </c:numCache>
            </c:numRef>
          </c:yVal>
          <c:smooth val="0"/>
        </c:ser>
        <c:ser>
          <c:idx val="6"/>
          <c:order val="5"/>
          <c:tx>
            <c:v>A2</c:v>
          </c:tx>
          <c:spPr>
            <a:ln w="9525">
              <a:solidFill>
                <a:srgbClr val="000000"/>
              </a:solidFill>
              <a:prstDash val="dash"/>
            </a:ln>
          </c:spPr>
          <c:marker>
            <c:symbol val="none"/>
          </c:marker>
          <c:dLbls>
            <c:dLbl>
              <c:idx val="0"/>
              <c:tx>
                <c:rich>
                  <a:bodyPr/>
                  <a:lstStyle/>
                  <a:p>
                    <a:r>
                      <a:rPr lang="en-US" i="1"/>
                      <a:t>A</a:t>
                    </a:r>
                    <a:r>
                      <a:rPr lang="en-US" i="1" baseline="-25000"/>
                      <a:t>2</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'F1201&amp;04'!$K$10:$K$11</c:f>
              <c:numCache>
                <c:formatCode>General</c:formatCode>
                <c:ptCount val="2"/>
                <c:pt idx="0">
                  <c:v>27.273</c:v>
                </c:pt>
                <c:pt idx="1">
                  <c:v>27.273</c:v>
                </c:pt>
              </c:numCache>
            </c:numRef>
          </c:xVal>
          <c:yVal>
            <c:numRef>
              <c:f>'F1201&amp;04'!$L$10:$L$11</c:f>
              <c:numCache>
                <c:formatCode>General</c:formatCode>
                <c:ptCount val="2"/>
                <c:pt idx="0">
                  <c:v>0</c:v>
                </c:pt>
                <c:pt idx="1">
                  <c:v>80</c:v>
                </c:pt>
              </c:numCache>
            </c:numRef>
          </c:yVal>
          <c:smooth val="0"/>
        </c:ser>
        <c:ser>
          <c:idx val="5"/>
          <c:order val="6"/>
          <c:tx>
            <c:v>As</c:v>
          </c:tx>
          <c:spPr>
            <a:ln w="9525">
              <a:solidFill>
                <a:srgbClr val="000000"/>
              </a:solidFill>
              <a:prstDash val="dash"/>
            </a:ln>
          </c:spPr>
          <c:marker>
            <c:symbol val="none"/>
          </c:marker>
          <c:dLbls>
            <c:dLbl>
              <c:idx val="0"/>
              <c:tx>
                <c:rich>
                  <a:bodyPr/>
                  <a:lstStyle/>
                  <a:p>
                    <a:r>
                      <a:rPr lang="en-US" i="1"/>
                      <a:t>A</a:t>
                    </a:r>
                    <a:r>
                      <a:rPr lang="en-US" i="1" baseline="-25000"/>
                      <a:t>s</a:t>
                    </a:r>
                    <a:endParaRPr lang="en-US" baseline="-25000"/>
                  </a:p>
                </c:rich>
              </c:tx>
              <c:dLblPos val="b"/>
              <c:showLegendKey val="0"/>
              <c:showVal val="0"/>
              <c:showCatName val="0"/>
              <c:showSerName val="1"/>
              <c:showPercent val="0"/>
              <c:showBubbleSize val="0"/>
            </c:dLbl>
            <c:dLbl>
              <c:idx val="1"/>
              <c:delete val="1"/>
            </c:dLbl>
            <c:txPr>
              <a:bodyPr/>
              <a:lstStyle/>
              <a:p>
                <a:pPr>
                  <a:defRPr i="1"/>
                </a:pPr>
                <a:endParaRPr lang="en-US"/>
              </a:p>
            </c:txPr>
            <c:dLblPos val="b"/>
            <c:showLegendKey val="0"/>
            <c:showVal val="0"/>
            <c:showCatName val="0"/>
            <c:showSerName val="1"/>
            <c:showPercent val="0"/>
            <c:showBubbleSize val="0"/>
            <c:showLeaderLines val="0"/>
          </c:dLbls>
          <c:xVal>
            <c:numRef>
              <c:f>'F1201&amp;04'!$K$13:$K$14</c:f>
              <c:numCache>
                <c:formatCode>General</c:formatCode>
                <c:ptCount val="2"/>
                <c:pt idx="0">
                  <c:v>85.713999999999999</c:v>
                </c:pt>
                <c:pt idx="1">
                  <c:v>85.713999999999999</c:v>
                </c:pt>
              </c:numCache>
            </c:numRef>
          </c:xVal>
          <c:yVal>
            <c:numRef>
              <c:f>'F1201&amp;04'!$L$13:$L$14</c:f>
              <c:numCache>
                <c:formatCode>General</c:formatCode>
                <c:ptCount val="2"/>
                <c:pt idx="0">
                  <c:v>0</c:v>
                </c:pt>
                <c:pt idx="1">
                  <c:v>80</c:v>
                </c:pt>
              </c:numCache>
            </c:numRef>
          </c:yVal>
          <c:smooth val="0"/>
        </c:ser>
        <c:dLbls>
          <c:showLegendKey val="0"/>
          <c:showVal val="0"/>
          <c:showCatName val="0"/>
          <c:showSerName val="0"/>
          <c:showPercent val="0"/>
          <c:showBubbleSize val="0"/>
        </c:dLbls>
        <c:axId val="111575808"/>
        <c:axId val="111577728"/>
      </c:scatterChart>
      <c:valAx>
        <c:axId val="111575808"/>
        <c:scaling>
          <c:orientation val="minMax"/>
          <c:max val="200"/>
        </c:scaling>
        <c:delete val="0"/>
        <c:axPos val="b"/>
        <c:title>
          <c:tx>
            <c:rich>
              <a:bodyPr/>
              <a:lstStyle/>
              <a:p>
                <a:pPr>
                  <a:defRPr sz="1200" b="0" i="0" u="none" strike="noStrike" baseline="0">
                    <a:solidFill>
                      <a:srgbClr val="000000"/>
                    </a:solidFill>
                    <a:latin typeface="Times New Roman"/>
                    <a:ea typeface="Times New Roman"/>
                    <a:cs typeface="Times New Roman"/>
                  </a:defRPr>
                </a:pPr>
                <a:r>
                  <a:rPr lang="en-US" b="0"/>
                  <a:t>Abatement</a:t>
                </a:r>
              </a:p>
            </c:rich>
          </c:tx>
          <c:layout>
            <c:manualLayout>
              <c:xMode val="edge"/>
              <c:yMode val="edge"/>
              <c:x val="0.74566442391477694"/>
              <c:y val="0.82471677419241551"/>
            </c:manualLayout>
          </c:layout>
          <c:overlay val="0"/>
          <c:spPr>
            <a:noFill/>
            <a:ln w="25400">
              <a:noFill/>
            </a:ln>
          </c:spPr>
        </c:title>
        <c:numFmt formatCode="General" sourceLinked="1"/>
        <c:majorTickMark val="out"/>
        <c:minorTickMark val="none"/>
        <c:tickLblPos val="nextTo"/>
        <c:txPr>
          <a:bodyPr/>
          <a:lstStyle/>
          <a:p>
            <a:pPr>
              <a:defRPr sz="1200">
                <a:latin typeface="Times New Roman"/>
                <a:ea typeface="Times New Roman"/>
                <a:cs typeface="Times New Roman"/>
              </a:defRPr>
            </a:pPr>
            <a:endParaRPr lang="en-US"/>
          </a:p>
        </c:txPr>
        <c:crossAx val="111577728"/>
        <c:crosses val="autoZero"/>
        <c:crossBetween val="midCat"/>
      </c:valAx>
      <c:valAx>
        <c:axId val="111577728"/>
        <c:scaling>
          <c:orientation val="minMax"/>
        </c:scaling>
        <c:delete val="0"/>
        <c:axPos val="l"/>
        <c:title>
          <c:tx>
            <c:rich>
              <a:bodyPr rot="0" vert="wordArtVert"/>
              <a:lstStyle/>
              <a:p>
                <a:pPr>
                  <a:defRPr/>
                </a:pPr>
                <a:r>
                  <a:rPr lang="en-US"/>
                  <a:t>$</a:t>
                </a:r>
              </a:p>
            </c:rich>
          </c:tx>
          <c:layout>
            <c:manualLayout>
              <c:xMode val="edge"/>
              <c:yMode val="edge"/>
              <c:x val="5.0326272131048282E-2"/>
              <c:y val="0.2311827391286557"/>
            </c:manualLayout>
          </c:layout>
          <c:overlay val="0"/>
        </c:title>
        <c:numFmt formatCode="General" sourceLinked="1"/>
        <c:majorTickMark val="out"/>
        <c:minorTickMark val="none"/>
        <c:tickLblPos val="nextTo"/>
        <c:txPr>
          <a:bodyPr/>
          <a:lstStyle/>
          <a:p>
            <a:pPr>
              <a:defRPr sz="1200">
                <a:latin typeface="Times New Roman"/>
                <a:ea typeface="Times New Roman"/>
                <a:cs typeface="Times New Roman"/>
              </a:defRPr>
            </a:pPr>
            <a:endParaRPr lang="en-US"/>
          </a:p>
        </c:txPr>
        <c:crossAx val="111575808"/>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5768156004927737E-2"/>
          <c:y val="4.0925975557333058E-2"/>
          <c:w val="0.91276416353318557"/>
          <c:h val="0.82125126595560261"/>
        </c:manualLayout>
      </c:layout>
      <c:scatterChart>
        <c:scatterStyle val="lineMarker"/>
        <c:varyColors val="0"/>
        <c:ser>
          <c:idx val="0"/>
          <c:order val="0"/>
          <c:tx>
            <c:strRef>
              <c:f>F1205d!$G$1</c:f>
              <c:strCache>
                <c:ptCount val="1"/>
                <c:pt idx="0">
                  <c:v>MB2</c:v>
                </c:pt>
              </c:strCache>
            </c:strRef>
          </c:tx>
          <c:spPr>
            <a:ln w="12700">
              <a:solidFill>
                <a:srgbClr val="000000"/>
              </a:solidFill>
            </a:ln>
          </c:spPr>
          <c:marker>
            <c:symbol val="none"/>
          </c:marker>
          <c:dLbls>
            <c:dLbl>
              <c:idx val="0"/>
              <c:tx>
                <c:rich>
                  <a:bodyPr/>
                  <a:lstStyle/>
                  <a:p>
                    <a:r>
                      <a:rPr lang="en-US"/>
                      <a:t>MB</a:t>
                    </a:r>
                    <a:r>
                      <a:rPr lang="en-US" baseline="-25000"/>
                      <a:t>2</a:t>
                    </a:r>
                  </a:p>
                </c:rich>
              </c:tx>
              <c:showLegendKey val="0"/>
              <c:showVal val="0"/>
              <c:showCatName val="0"/>
              <c:showSerName val="1"/>
              <c:showPercent val="0"/>
              <c:showBubbleSize val="0"/>
            </c:dLbl>
            <c:dLbl>
              <c:idx val="1"/>
              <c:tx>
                <c:rich>
                  <a:bodyPr/>
                  <a:lstStyle/>
                  <a:p>
                    <a:r>
                      <a:rPr lang="en-US" b="0" i="1"/>
                      <a:t>MC</a:t>
                    </a:r>
                    <a:r>
                      <a:rPr lang="en-US" b="0" i="1" baseline="-25000"/>
                      <a:t>1</a:t>
                    </a:r>
                    <a:endParaRPr lang="en-US" baseline="-25000"/>
                  </a:p>
                </c:rich>
              </c:tx>
              <c:showLegendKey val="0"/>
              <c:showVal val="0"/>
              <c:showCatName val="0"/>
              <c:showSerName val="1"/>
              <c:showPercent val="0"/>
              <c:showBubbleSize val="0"/>
            </c:dLbl>
            <c:txPr>
              <a:bodyPr/>
              <a:lstStyle/>
              <a:p>
                <a:pPr>
                  <a:defRPr sz="1200" b="0" i="1"/>
                </a:pPr>
                <a:endParaRPr lang="en-US"/>
              </a:p>
            </c:txPr>
            <c:showLegendKey val="0"/>
            <c:showVal val="0"/>
            <c:showCatName val="0"/>
            <c:showSerName val="1"/>
            <c:showPercent val="0"/>
            <c:showBubbleSize val="0"/>
            <c:showLeaderLines val="0"/>
          </c:dLbls>
          <c:xVal>
            <c:numRef>
              <c:f>F1205d!$F$2:$F$3</c:f>
              <c:numCache>
                <c:formatCode>General</c:formatCode>
                <c:ptCount val="2"/>
                <c:pt idx="0">
                  <c:v>0</c:v>
                </c:pt>
                <c:pt idx="1">
                  <c:v>14</c:v>
                </c:pt>
              </c:numCache>
            </c:numRef>
          </c:xVal>
          <c:yVal>
            <c:numRef>
              <c:f>F1205d!$G$2:$G$3</c:f>
              <c:numCache>
                <c:formatCode>General</c:formatCode>
                <c:ptCount val="2"/>
                <c:pt idx="0">
                  <c:v>22</c:v>
                </c:pt>
                <c:pt idx="1">
                  <c:v>-6</c:v>
                </c:pt>
              </c:numCache>
            </c:numRef>
          </c:yVal>
          <c:smooth val="0"/>
        </c:ser>
        <c:ser>
          <c:idx val="1"/>
          <c:order val="1"/>
          <c:tx>
            <c:strRef>
              <c:f>F1205d!$H$1</c:f>
              <c:strCache>
                <c:ptCount val="1"/>
                <c:pt idx="0">
                  <c:v>MC</c:v>
                </c:pt>
              </c:strCache>
            </c:strRef>
          </c:tx>
          <c:spPr>
            <a:ln w="12700" cap="rnd" cmpd="sng" algn="ctr">
              <a:solidFill>
                <a:srgbClr val="000000"/>
              </a:solidFill>
              <a:prstDash val="solid"/>
              <a:round/>
              <a:headEnd type="none" w="med" len="med"/>
              <a:tailEnd type="none" w="med" len="med"/>
            </a:ln>
          </c:spPr>
          <c:marker>
            <c:symbol val="none"/>
          </c:marker>
          <c:dLbls>
            <c:txPr>
              <a:bodyPr/>
              <a:lstStyle/>
              <a:p>
                <a:pPr>
                  <a:defRPr sz="1200" b="0" i="1"/>
                </a:pPr>
                <a:endParaRPr lang="en-US"/>
              </a:p>
            </c:txPr>
            <c:showLegendKey val="0"/>
            <c:showVal val="0"/>
            <c:showCatName val="0"/>
            <c:showSerName val="1"/>
            <c:showPercent val="0"/>
            <c:showBubbleSize val="0"/>
            <c:showLeaderLines val="0"/>
          </c:dLbls>
          <c:xVal>
            <c:numRef>
              <c:f>F1205d!$F$2:$F$3</c:f>
              <c:numCache>
                <c:formatCode>General</c:formatCode>
                <c:ptCount val="2"/>
                <c:pt idx="0">
                  <c:v>0</c:v>
                </c:pt>
                <c:pt idx="1">
                  <c:v>14</c:v>
                </c:pt>
              </c:numCache>
            </c:numRef>
          </c:xVal>
          <c:yVal>
            <c:numRef>
              <c:f>F1205d!$H$2:$H$3</c:f>
              <c:numCache>
                <c:formatCode>General</c:formatCode>
                <c:ptCount val="2"/>
                <c:pt idx="0">
                  <c:v>-2</c:v>
                </c:pt>
                <c:pt idx="1">
                  <c:v>12</c:v>
                </c:pt>
              </c:numCache>
            </c:numRef>
          </c:yVal>
          <c:smooth val="0"/>
        </c:ser>
        <c:ser>
          <c:idx val="3"/>
          <c:order val="2"/>
          <c:tx>
            <c:strRef>
              <c:f>F1205d!$E$14</c:f>
              <c:strCache>
                <c:ptCount val="1"/>
                <c:pt idx="0">
                  <c:v>E3</c:v>
                </c:pt>
              </c:strCache>
            </c:strRef>
          </c:tx>
          <c:spPr>
            <a:ln w="12700">
              <a:solidFill>
                <a:srgbClr val="000000"/>
              </a:solidFill>
              <a:prstDash val="dash"/>
            </a:ln>
          </c:spPr>
          <c:marker>
            <c:symbol val="none"/>
          </c:marker>
          <c:dLbls>
            <c:dLbl>
              <c:idx val="0"/>
              <c:layout>
                <c:manualLayout>
                  <c:x val="-1.6144577756308173E-2"/>
                  <c:y val="4.459909579084461E-2"/>
                </c:manualLayout>
              </c:layout>
              <c:tx>
                <c:rich>
                  <a:bodyPr/>
                  <a:lstStyle/>
                  <a:p>
                    <a:r>
                      <a:rPr lang="en-US" baseline="0"/>
                      <a:t>E</a:t>
                    </a:r>
                    <a:r>
                      <a:rPr lang="en-US" baseline="-25000"/>
                      <a:t>3</a:t>
                    </a:r>
                  </a:p>
                </c:rich>
              </c:tx>
              <c:showLegendKey val="0"/>
              <c:showVal val="0"/>
              <c:showCatName val="0"/>
              <c:showSerName val="1"/>
              <c:showPercent val="0"/>
              <c:showBubbleSize val="0"/>
            </c:dLbl>
            <c:dLbl>
              <c:idx val="1"/>
              <c:delete val="1"/>
            </c:dLbl>
            <c:txPr>
              <a:bodyPr/>
              <a:lstStyle/>
              <a:p>
                <a:pPr>
                  <a:defRPr sz="1200" i="1"/>
                </a:pPr>
                <a:endParaRPr lang="en-US"/>
              </a:p>
            </c:txPr>
            <c:showLegendKey val="0"/>
            <c:showVal val="0"/>
            <c:showCatName val="0"/>
            <c:showSerName val="1"/>
            <c:showPercent val="0"/>
            <c:showBubbleSize val="0"/>
            <c:showLeaderLines val="0"/>
          </c:dLbls>
          <c:xVal>
            <c:numRef>
              <c:f>F1205d!$F$14:$F$15</c:f>
              <c:numCache>
                <c:formatCode>General</c:formatCode>
                <c:ptCount val="2"/>
                <c:pt idx="0">
                  <c:v>8.6666666666666661</c:v>
                </c:pt>
                <c:pt idx="1">
                  <c:v>8.6666666666666661</c:v>
                </c:pt>
              </c:numCache>
            </c:numRef>
          </c:xVal>
          <c:yVal>
            <c:numRef>
              <c:f>F1205d!$G$14:$G$15</c:f>
              <c:numCache>
                <c:formatCode>General</c:formatCode>
                <c:ptCount val="2"/>
                <c:pt idx="0">
                  <c:v>0</c:v>
                </c:pt>
                <c:pt idx="1">
                  <c:v>4.6666666666666679</c:v>
                </c:pt>
              </c:numCache>
            </c:numRef>
          </c:yVal>
          <c:smooth val="0"/>
        </c:ser>
        <c:ser>
          <c:idx val="10"/>
          <c:order val="3"/>
          <c:tx>
            <c:strRef>
              <c:f>F1205d!$E$12</c:f>
              <c:strCache>
                <c:ptCount val="1"/>
                <c:pt idx="0">
                  <c:v>E2</c:v>
                </c:pt>
              </c:strCache>
            </c:strRef>
          </c:tx>
          <c:spPr>
            <a:ln w="12700">
              <a:solidFill>
                <a:srgbClr val="000000"/>
              </a:solidFill>
              <a:prstDash val="dash"/>
            </a:ln>
          </c:spPr>
          <c:marker>
            <c:symbol val="none"/>
          </c:marker>
          <c:dLbls>
            <c:dLbl>
              <c:idx val="0"/>
              <c:layout>
                <c:manualLayout>
                  <c:x val="-1.9079955530182387E-2"/>
                  <c:y val="4.459909579084461E-2"/>
                </c:manualLayout>
              </c:layout>
              <c:tx>
                <c:rich>
                  <a:bodyPr/>
                  <a:lstStyle/>
                  <a:p>
                    <a:r>
                      <a:rPr lang="en-US"/>
                      <a:t>E</a:t>
                    </a:r>
                    <a:r>
                      <a:rPr lang="en-US" baseline="-25000"/>
                      <a:t>2</a:t>
                    </a:r>
                  </a:p>
                </c:rich>
              </c:tx>
              <c:showLegendKey val="0"/>
              <c:showVal val="0"/>
              <c:showCatName val="0"/>
              <c:showSerName val="1"/>
              <c:showPercent val="0"/>
              <c:showBubbleSize val="0"/>
            </c:dLbl>
            <c:dLbl>
              <c:idx val="1"/>
              <c:delete val="1"/>
            </c:dLbl>
            <c:txPr>
              <a:bodyPr/>
              <a:lstStyle/>
              <a:p>
                <a:pPr>
                  <a:defRPr sz="1200" i="1"/>
                </a:pPr>
                <a:endParaRPr lang="en-US"/>
              </a:p>
            </c:txPr>
            <c:showLegendKey val="0"/>
            <c:showVal val="0"/>
            <c:showCatName val="0"/>
            <c:showSerName val="1"/>
            <c:showPercent val="0"/>
            <c:showBubbleSize val="0"/>
            <c:showLeaderLines val="0"/>
          </c:dLbls>
          <c:xVal>
            <c:numRef>
              <c:f>F1205d!$F$12:$F$13</c:f>
              <c:numCache>
                <c:formatCode>General</c:formatCode>
                <c:ptCount val="2"/>
                <c:pt idx="0">
                  <c:v>8</c:v>
                </c:pt>
                <c:pt idx="1">
                  <c:v>8</c:v>
                </c:pt>
              </c:numCache>
            </c:numRef>
          </c:xVal>
          <c:yVal>
            <c:numRef>
              <c:f>F1205d!$G$12:$G$13</c:f>
              <c:numCache>
                <c:formatCode>General</c:formatCode>
                <c:ptCount val="2"/>
                <c:pt idx="0">
                  <c:v>0</c:v>
                </c:pt>
                <c:pt idx="1">
                  <c:v>6</c:v>
                </c:pt>
              </c:numCache>
            </c:numRef>
          </c:yVal>
          <c:smooth val="0"/>
        </c:ser>
        <c:ser>
          <c:idx val="5"/>
          <c:order val="4"/>
          <c:tx>
            <c:strRef>
              <c:f>F1205d!#REF!</c:f>
              <c:strCache>
                <c:ptCount val="1"/>
                <c:pt idx="0">
                  <c:v>#REF!</c:v>
                </c:pt>
              </c:strCache>
            </c:strRef>
          </c:tx>
          <c:marker>
            <c:symbol val="none"/>
          </c:marker>
          <c:dLbls>
            <c:delete val="1"/>
          </c:dLbls>
          <c:xVal>
            <c:numRef>
              <c:f>F1205d!#REF!</c:f>
            </c:numRef>
          </c:xVal>
          <c:yVal>
            <c:numRef>
              <c:f>F1205d!#REF!</c:f>
              <c:numCache>
                <c:formatCode>General</c:formatCode>
                <c:ptCount val="1"/>
                <c:pt idx="0">
                  <c:v>1</c:v>
                </c:pt>
              </c:numCache>
            </c:numRef>
          </c:yVal>
          <c:smooth val="0"/>
        </c:ser>
        <c:ser>
          <c:idx val="6"/>
          <c:order val="5"/>
          <c:tx>
            <c:strRef>
              <c:f>F1205d!#REF!</c:f>
              <c:strCache>
                <c:ptCount val="1"/>
                <c:pt idx="0">
                  <c:v>#REF!</c:v>
                </c:pt>
              </c:strCache>
            </c:strRef>
          </c:tx>
          <c:marker>
            <c:symbol val="none"/>
          </c:marker>
          <c:dLbls>
            <c:delete val="1"/>
          </c:dLbls>
          <c:xVal>
            <c:numRef>
              <c:f>F1205d!#REF!</c:f>
            </c:numRef>
          </c:xVal>
          <c:yVal>
            <c:numRef>
              <c:f>F1205d!#REF!</c:f>
              <c:numCache>
                <c:formatCode>General</c:formatCode>
                <c:ptCount val="1"/>
                <c:pt idx="0">
                  <c:v>1</c:v>
                </c:pt>
              </c:numCache>
            </c:numRef>
          </c:yVal>
          <c:smooth val="0"/>
        </c:ser>
        <c:ser>
          <c:idx val="7"/>
          <c:order val="6"/>
          <c:tx>
            <c:strRef>
              <c:f>F1205d!#REF!</c:f>
              <c:strCache>
                <c:ptCount val="1"/>
                <c:pt idx="0">
                  <c:v>#REF!</c:v>
                </c:pt>
              </c:strCache>
            </c:strRef>
          </c:tx>
          <c:marker>
            <c:symbol val="none"/>
          </c:marker>
          <c:dLbls>
            <c:delete val="1"/>
          </c:dLbls>
          <c:xVal>
            <c:numRef>
              <c:f>F1205d!#REF!</c:f>
            </c:numRef>
          </c:xVal>
          <c:yVal>
            <c:numRef>
              <c:f>F1205d!#REF!</c:f>
              <c:numCache>
                <c:formatCode>General</c:formatCode>
                <c:ptCount val="1"/>
                <c:pt idx="0">
                  <c:v>1</c:v>
                </c:pt>
              </c:numCache>
            </c:numRef>
          </c:yVal>
          <c:smooth val="0"/>
        </c:ser>
        <c:ser>
          <c:idx val="11"/>
          <c:order val="7"/>
          <c:tx>
            <c:strRef>
              <c:f>F1205d!#REF!</c:f>
              <c:strCache>
                <c:ptCount val="1"/>
                <c:pt idx="0">
                  <c:v>#REF!</c:v>
                </c:pt>
              </c:strCache>
            </c:strRef>
          </c:tx>
          <c:marker>
            <c:symbol val="none"/>
          </c:marker>
          <c:dLbls>
            <c:delete val="1"/>
          </c:dLbls>
          <c:xVal>
            <c:numRef>
              <c:f>F1205d!#REF!</c:f>
            </c:numRef>
          </c:xVal>
          <c:yVal>
            <c:numRef>
              <c:f>F1205d!#REF!</c:f>
              <c:numCache>
                <c:formatCode>General</c:formatCode>
                <c:ptCount val="1"/>
                <c:pt idx="0">
                  <c:v>1</c:v>
                </c:pt>
              </c:numCache>
            </c:numRef>
          </c:yVal>
          <c:smooth val="0"/>
        </c:ser>
        <c:ser>
          <c:idx val="12"/>
          <c:order val="8"/>
          <c:tx>
            <c:strRef>
              <c:f>F1205d!$E$10</c:f>
              <c:strCache>
                <c:ptCount val="1"/>
                <c:pt idx="0">
                  <c:v>E1</c:v>
                </c:pt>
              </c:strCache>
            </c:strRef>
          </c:tx>
          <c:spPr>
            <a:ln w="12700">
              <a:solidFill>
                <a:schemeClr val="tx1"/>
              </a:solidFill>
              <a:prstDash val="dash"/>
            </a:ln>
          </c:spPr>
          <c:marker>
            <c:symbol val="none"/>
          </c:marker>
          <c:dLbls>
            <c:dLbl>
              <c:idx val="0"/>
              <c:layout>
                <c:manualLayout>
                  <c:x val="-1.6144577756308173E-2"/>
                  <c:y val="4.6626327417701181E-2"/>
                </c:manualLayout>
              </c:layout>
              <c:tx>
                <c:rich>
                  <a:bodyPr/>
                  <a:lstStyle/>
                  <a:p>
                    <a:pPr>
                      <a:defRPr sz="1200"/>
                    </a:pPr>
                    <a:r>
                      <a:rPr lang="en-US" sz="1200"/>
                      <a:t>E</a:t>
                    </a:r>
                    <a:r>
                      <a:rPr lang="en-US" sz="1200" baseline="-25000"/>
                      <a:t>1</a:t>
                    </a:r>
                  </a:p>
                </c:rich>
              </c:tx>
              <c:spPr/>
              <c:showLegendKey val="0"/>
              <c:showVal val="0"/>
              <c:showCatName val="0"/>
              <c:showSerName val="1"/>
              <c:showPercent val="0"/>
              <c:showBubbleSize val="0"/>
            </c:dLbl>
            <c:showLegendKey val="0"/>
            <c:showVal val="0"/>
            <c:showCatName val="0"/>
            <c:showSerName val="0"/>
            <c:showPercent val="0"/>
            <c:showBubbleSize val="0"/>
          </c:dLbls>
          <c:xVal>
            <c:numRef>
              <c:f>F1205d!$F$10:$F$11</c:f>
              <c:numCache>
                <c:formatCode>General</c:formatCode>
                <c:ptCount val="2"/>
                <c:pt idx="0">
                  <c:v>6.666666666666667</c:v>
                </c:pt>
                <c:pt idx="1">
                  <c:v>6.666666666666667</c:v>
                </c:pt>
              </c:numCache>
            </c:numRef>
          </c:xVal>
          <c:yVal>
            <c:numRef>
              <c:f>F1205d!$G$10:$G$11</c:f>
              <c:numCache>
                <c:formatCode>General</c:formatCode>
                <c:ptCount val="2"/>
                <c:pt idx="0">
                  <c:v>0</c:v>
                </c:pt>
                <c:pt idx="1">
                  <c:v>4.666666666666667</c:v>
                </c:pt>
              </c:numCache>
            </c:numRef>
          </c:yVal>
          <c:smooth val="0"/>
        </c:ser>
        <c:ser>
          <c:idx val="2"/>
          <c:order val="9"/>
          <c:tx>
            <c:strRef>
              <c:f>F1205d!$I$1</c:f>
              <c:strCache>
                <c:ptCount val="1"/>
                <c:pt idx="0">
                  <c:v>MB1</c:v>
                </c:pt>
              </c:strCache>
            </c:strRef>
          </c:tx>
          <c:spPr>
            <a:ln w="12700"/>
          </c:spPr>
          <c:marker>
            <c:symbol val="none"/>
          </c:marker>
          <c:dLbls>
            <c:dLbl>
              <c:idx val="0"/>
              <c:tx>
                <c:rich>
                  <a:bodyPr/>
                  <a:lstStyle/>
                  <a:p>
                    <a:r>
                      <a:rPr lang="en-US" i="1"/>
                      <a:t>MB</a:t>
                    </a:r>
                    <a:r>
                      <a:rPr lang="en-US" baseline="-25000"/>
                      <a:t>1</a:t>
                    </a:r>
                  </a:p>
                </c:rich>
              </c:tx>
              <c:showLegendKey val="0"/>
              <c:showVal val="0"/>
              <c:showCatName val="0"/>
              <c:showSerName val="1"/>
              <c:showPercent val="0"/>
              <c:showBubbleSize val="0"/>
            </c:dLbl>
            <c:dLbl>
              <c:idx val="1"/>
              <c:tx>
                <c:rich>
                  <a:bodyPr/>
                  <a:lstStyle/>
                  <a:p>
                    <a:r>
                      <a:rPr lang="en-US"/>
                      <a:t>MC</a:t>
                    </a:r>
                    <a:r>
                      <a:rPr lang="en-US" baseline="-25000"/>
                      <a:t>2</a:t>
                    </a:r>
                  </a:p>
                </c:rich>
              </c:tx>
              <c:showLegendKey val="0"/>
              <c:showVal val="0"/>
              <c:showCatName val="0"/>
              <c:showSerName val="1"/>
              <c:showPercent val="0"/>
              <c:showBubbleSize val="0"/>
            </c:dLbl>
            <c:txPr>
              <a:bodyPr/>
              <a:lstStyle/>
              <a:p>
                <a:pPr>
                  <a:defRPr sz="1200"/>
                </a:pPr>
                <a:endParaRPr lang="en-US"/>
              </a:p>
            </c:txPr>
            <c:showLegendKey val="0"/>
            <c:showVal val="0"/>
            <c:showCatName val="0"/>
            <c:showSerName val="1"/>
            <c:showPercent val="0"/>
            <c:showBubbleSize val="0"/>
            <c:showLeaderLines val="0"/>
          </c:dLbls>
          <c:xVal>
            <c:numRef>
              <c:f>F1205d!$F$2:$F$3</c:f>
              <c:numCache>
                <c:formatCode>General</c:formatCode>
                <c:ptCount val="2"/>
                <c:pt idx="0">
                  <c:v>0</c:v>
                </c:pt>
                <c:pt idx="1">
                  <c:v>14</c:v>
                </c:pt>
              </c:numCache>
            </c:numRef>
          </c:xVal>
          <c:yVal>
            <c:numRef>
              <c:f>F1205d!$I$2:$I$3</c:f>
              <c:numCache>
                <c:formatCode>General</c:formatCode>
                <c:ptCount val="2"/>
                <c:pt idx="0">
                  <c:v>18</c:v>
                </c:pt>
                <c:pt idx="1">
                  <c:v>-10</c:v>
                </c:pt>
              </c:numCache>
            </c:numRef>
          </c:yVal>
          <c:smooth val="0"/>
        </c:ser>
        <c:ser>
          <c:idx val="8"/>
          <c:order val="10"/>
          <c:tx>
            <c:strRef>
              <c:f>F1205d!$E$16</c:f>
              <c:strCache>
                <c:ptCount val="1"/>
                <c:pt idx="0">
                  <c:v>C2</c:v>
                </c:pt>
              </c:strCache>
            </c:strRef>
          </c:tx>
          <c:spPr>
            <a:ln w="12700">
              <a:prstDash val="dash"/>
            </a:ln>
          </c:spPr>
          <c:marker>
            <c:symbol val="none"/>
          </c:marker>
          <c:dPt>
            <c:idx val="0"/>
            <c:bubble3D val="0"/>
            <c:spPr>
              <a:ln w="12700">
                <a:solidFill>
                  <a:schemeClr val="tx1"/>
                </a:solidFill>
                <a:prstDash val="dash"/>
              </a:ln>
            </c:spPr>
          </c:dPt>
          <c:dLbls>
            <c:dLbl>
              <c:idx val="0"/>
              <c:tx>
                <c:rich>
                  <a:bodyPr/>
                  <a:lstStyle/>
                  <a:p>
                    <a:r>
                      <a:rPr lang="en-US" i="1"/>
                      <a:t>C</a:t>
                    </a:r>
                    <a:r>
                      <a:rPr lang="en-US" i="1" baseline="-25000"/>
                      <a:t>2</a:t>
                    </a:r>
                  </a:p>
                </c:rich>
              </c:tx>
              <c:dLblPos val="l"/>
              <c:showLegendKey val="0"/>
              <c:showVal val="0"/>
              <c:showCatName val="0"/>
              <c:showSerName val="1"/>
              <c:showPercent val="0"/>
              <c:showBubbleSize val="0"/>
            </c:dLbl>
            <c:showLegendKey val="0"/>
            <c:showVal val="0"/>
            <c:showCatName val="0"/>
            <c:showSerName val="0"/>
            <c:showPercent val="0"/>
            <c:showBubbleSize val="0"/>
          </c:dLbls>
          <c:xVal>
            <c:numRef>
              <c:f>F1205d!$F$16:$F$17</c:f>
              <c:numCache>
                <c:formatCode>General</c:formatCode>
                <c:ptCount val="2"/>
                <c:pt idx="0">
                  <c:v>0</c:v>
                </c:pt>
                <c:pt idx="1">
                  <c:v>8</c:v>
                </c:pt>
              </c:numCache>
            </c:numRef>
          </c:xVal>
          <c:yVal>
            <c:numRef>
              <c:f>F1205d!$G$16:$G$17</c:f>
              <c:numCache>
                <c:formatCode>General</c:formatCode>
                <c:ptCount val="2"/>
                <c:pt idx="0">
                  <c:v>6</c:v>
                </c:pt>
                <c:pt idx="1">
                  <c:v>6</c:v>
                </c:pt>
              </c:numCache>
            </c:numRef>
          </c:yVal>
          <c:smooth val="0"/>
        </c:ser>
        <c:ser>
          <c:idx val="9"/>
          <c:order val="11"/>
          <c:tx>
            <c:strRef>
              <c:f>F1205d!$E$18</c:f>
              <c:strCache>
                <c:ptCount val="1"/>
                <c:pt idx="0">
                  <c:v>C3</c:v>
                </c:pt>
              </c:strCache>
            </c:strRef>
          </c:tx>
          <c:spPr>
            <a:ln w="12700">
              <a:prstDash val="dash"/>
            </a:ln>
          </c:spPr>
          <c:marker>
            <c:symbol val="none"/>
          </c:marker>
          <c:dLbls>
            <c:dLbl>
              <c:idx val="1"/>
              <c:delete val="1"/>
            </c:dLbl>
            <c:dLblPos val="l"/>
            <c:showLegendKey val="0"/>
            <c:showVal val="0"/>
            <c:showCatName val="0"/>
            <c:showSerName val="1"/>
            <c:showPercent val="0"/>
            <c:showBubbleSize val="0"/>
            <c:showLeaderLines val="0"/>
          </c:dLbls>
          <c:xVal>
            <c:numRef>
              <c:f>F1205d!$F$18:$F$19</c:f>
              <c:numCache>
                <c:formatCode>General</c:formatCode>
                <c:ptCount val="2"/>
                <c:pt idx="0">
                  <c:v>0</c:v>
                </c:pt>
                <c:pt idx="1">
                  <c:v>8</c:v>
                </c:pt>
              </c:numCache>
            </c:numRef>
          </c:xVal>
          <c:yVal>
            <c:numRef>
              <c:f>F1205d!$G$18:$G$19</c:f>
              <c:numCache>
                <c:formatCode>General</c:formatCode>
                <c:ptCount val="2"/>
                <c:pt idx="0">
                  <c:v>2</c:v>
                </c:pt>
                <c:pt idx="1">
                  <c:v>2</c:v>
                </c:pt>
              </c:numCache>
            </c:numRef>
          </c:yVal>
          <c:smooth val="0"/>
        </c:ser>
        <c:ser>
          <c:idx val="4"/>
          <c:order val="12"/>
          <c:tx>
            <c:strRef>
              <c:f>F1205d!$E$20</c:f>
              <c:strCache>
                <c:ptCount val="1"/>
                <c:pt idx="0">
                  <c:v>C1</c:v>
                </c:pt>
              </c:strCache>
            </c:strRef>
          </c:tx>
          <c:spPr>
            <a:ln w="12700">
              <a:prstDash val="dash"/>
            </a:ln>
          </c:spPr>
          <c:marker>
            <c:symbol val="none"/>
          </c:marker>
          <c:dLbls>
            <c:dLbl>
              <c:idx val="1"/>
              <c:delete val="1"/>
            </c:dLbl>
            <c:dLblPos val="l"/>
            <c:showLegendKey val="0"/>
            <c:showVal val="0"/>
            <c:showCatName val="0"/>
            <c:showSerName val="1"/>
            <c:showPercent val="0"/>
            <c:showBubbleSize val="0"/>
            <c:showLeaderLines val="0"/>
          </c:dLbls>
          <c:xVal>
            <c:numRef>
              <c:f>F1205d!$F$20:$F$21</c:f>
              <c:numCache>
                <c:formatCode>General</c:formatCode>
                <c:ptCount val="2"/>
                <c:pt idx="0">
                  <c:v>0</c:v>
                </c:pt>
                <c:pt idx="1">
                  <c:v>8.6666666666666661</c:v>
                </c:pt>
              </c:numCache>
            </c:numRef>
          </c:xVal>
          <c:yVal>
            <c:numRef>
              <c:f>F1205d!$G$20:$G$21</c:f>
              <c:numCache>
                <c:formatCode>General</c:formatCode>
                <c:ptCount val="2"/>
                <c:pt idx="0">
                  <c:v>4.666666666666667</c:v>
                </c:pt>
                <c:pt idx="1">
                  <c:v>4.666666666666667</c:v>
                </c:pt>
              </c:numCache>
            </c:numRef>
          </c:yVal>
          <c:smooth val="0"/>
        </c:ser>
        <c:dLbls>
          <c:showLegendKey val="0"/>
          <c:showVal val="1"/>
          <c:showCatName val="0"/>
          <c:showSerName val="0"/>
          <c:showPercent val="0"/>
          <c:showBubbleSize val="0"/>
        </c:dLbls>
        <c:axId val="112914816"/>
        <c:axId val="112916736"/>
      </c:scatterChart>
      <c:valAx>
        <c:axId val="112914816"/>
        <c:scaling>
          <c:orientation val="minMax"/>
        </c:scaling>
        <c:delete val="0"/>
        <c:axPos val="b"/>
        <c:title>
          <c:tx>
            <c:rich>
              <a:bodyPr/>
              <a:lstStyle/>
              <a:p>
                <a:pPr>
                  <a:defRPr sz="1200" b="0"/>
                </a:pPr>
                <a:r>
                  <a:rPr lang="en-US" sz="1200" b="0"/>
                  <a:t>Pollution Emission</a:t>
                </a:r>
              </a:p>
            </c:rich>
          </c:tx>
          <c:layout>
            <c:manualLayout>
              <c:xMode val="edge"/>
              <c:yMode val="edge"/>
              <c:x val="0.75388325054951655"/>
              <c:y val="0.87896373665718441"/>
            </c:manualLayout>
          </c:layout>
          <c:overlay val="0"/>
        </c:title>
        <c:numFmt formatCode="0" sourceLinked="0"/>
        <c:majorTickMark val="out"/>
        <c:minorTickMark val="none"/>
        <c:tickLblPos val="none"/>
        <c:txPr>
          <a:bodyPr/>
          <a:lstStyle/>
          <a:p>
            <a:pPr>
              <a:defRPr sz="1400">
                <a:latin typeface="Times New Roman"/>
                <a:ea typeface="Times New Roman"/>
                <a:cs typeface="Times New Roman"/>
              </a:defRPr>
            </a:pPr>
            <a:endParaRPr lang="en-US"/>
          </a:p>
        </c:txPr>
        <c:crossAx val="112916736"/>
        <c:crosses val="autoZero"/>
        <c:crossBetween val="midCat"/>
      </c:valAx>
      <c:valAx>
        <c:axId val="112916736"/>
        <c:scaling>
          <c:orientation val="minMax"/>
          <c:max val="30"/>
          <c:min val="0"/>
        </c:scaling>
        <c:delete val="0"/>
        <c:axPos val="l"/>
        <c:title>
          <c:tx>
            <c:rich>
              <a:bodyPr rot="0" vert="horz"/>
              <a:lstStyle/>
              <a:p>
                <a:pPr>
                  <a:defRPr sz="1200" b="0" i="1"/>
                </a:pPr>
                <a:r>
                  <a:rPr lang="en-US" sz="1200" b="0" i="1"/>
                  <a:t>$</a:t>
                </a:r>
              </a:p>
            </c:rich>
          </c:tx>
          <c:layout>
            <c:manualLayout>
              <c:xMode val="edge"/>
              <c:yMode val="edge"/>
              <c:x val="5.5979040940430325E-2"/>
              <c:y val="0.14356487244961891"/>
            </c:manualLayout>
          </c:layout>
          <c:overlay val="0"/>
        </c:title>
        <c:numFmt formatCode="0" sourceLinked="0"/>
        <c:majorTickMark val="out"/>
        <c:minorTickMark val="none"/>
        <c:tickLblPos val="none"/>
        <c:txPr>
          <a:bodyPr/>
          <a:lstStyle/>
          <a:p>
            <a:pPr>
              <a:defRPr sz="1400">
                <a:latin typeface="Times New Roman"/>
                <a:ea typeface="Times New Roman"/>
                <a:cs typeface="Times New Roman"/>
              </a:defRPr>
            </a:pPr>
            <a:endParaRPr lang="en-US"/>
          </a:p>
        </c:txPr>
        <c:crossAx val="112914816"/>
        <c:crosses val="autoZero"/>
        <c:crossBetween val="midCat"/>
      </c:valAx>
      <c:spPr>
        <a:extLst/>
      </c:spPr>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dLbls>
          <c:showLegendKey val="0"/>
          <c:showVal val="0"/>
          <c:showCatName val="0"/>
          <c:showSerName val="0"/>
          <c:showPercent val="0"/>
          <c:showBubbleSize val="0"/>
        </c:dLbls>
        <c:axId val="115787648"/>
        <c:axId val="115789184"/>
      </c:scatterChart>
      <c:valAx>
        <c:axId val="115787648"/>
        <c:scaling>
          <c:orientation val="minMax"/>
        </c:scaling>
        <c:delete val="0"/>
        <c:axPos val="b"/>
        <c:majorTickMark val="out"/>
        <c:minorTickMark val="none"/>
        <c:tickLblPos val="nextTo"/>
        <c:crossAx val="115789184"/>
        <c:crosses val="autoZero"/>
        <c:crossBetween val="midCat"/>
      </c:valAx>
      <c:valAx>
        <c:axId val="115789184"/>
        <c:scaling>
          <c:orientation val="minMax"/>
        </c:scaling>
        <c:delete val="0"/>
        <c:axPos val="l"/>
        <c:majorGridlines/>
        <c:majorTickMark val="out"/>
        <c:minorTickMark val="none"/>
        <c:tickLblPos val="nextTo"/>
        <c:crossAx val="115787648"/>
        <c:crosses val="autoZero"/>
        <c:crossBetween val="midCat"/>
      </c:valAx>
    </c:plotArea>
    <c:legend>
      <c:legendPos val="r"/>
      <c:overlay val="0"/>
    </c:legend>
    <c:plotVisOnly val="1"/>
    <c:dispBlanksAs val="gap"/>
    <c:showDLblsOverMax val="0"/>
  </c:chart>
  <c:spPr>
    <a:noFill/>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3175">
          <a:solidFill>
            <a:srgbClr val="FFFFFF"/>
          </a:solidFill>
          <a:prstDash val="solid"/>
        </a:ln>
      </c:spPr>
    </c:floor>
    <c:sideWall>
      <c:thickness val="0"/>
    </c:sideWall>
    <c:backWall>
      <c:thickness val="0"/>
    </c:backWall>
    <c:plotArea>
      <c:layout/>
      <c:bar3DChart>
        <c:barDir val="col"/>
        <c:grouping val="clustered"/>
        <c:varyColors val="0"/>
        <c:ser>
          <c:idx val="0"/>
          <c:order val="0"/>
          <c:tx>
            <c:strRef>
              <c:f>'Historical Vs Present Emissions'!$C$1</c:f>
              <c:strCache>
                <c:ptCount val="1"/>
                <c:pt idx="0">
                  <c:v>Share of Historical Emissions</c:v>
                </c:pt>
              </c:strCache>
            </c:strRef>
          </c:tx>
          <c:invertIfNegative val="0"/>
          <c:cat>
            <c:strRef>
              <c:f>'Historical Vs Present Emissions'!$A$2:$A$27</c:f>
              <c:strCache>
                <c:ptCount val="26"/>
                <c:pt idx="0">
                  <c:v>United States</c:v>
                </c:pt>
                <c:pt idx="1">
                  <c:v>Russia</c:v>
                </c:pt>
                <c:pt idx="2">
                  <c:v>China</c:v>
                </c:pt>
                <c:pt idx="3">
                  <c:v>Germany</c:v>
                </c:pt>
                <c:pt idx="4">
                  <c:v>United Kingdom</c:v>
                </c:pt>
                <c:pt idx="5">
                  <c:v>Japan</c:v>
                </c:pt>
                <c:pt idx="6">
                  <c:v>France</c:v>
                </c:pt>
                <c:pt idx="7">
                  <c:v>India</c:v>
                </c:pt>
                <c:pt idx="8">
                  <c:v>Canada</c:v>
                </c:pt>
                <c:pt idx="9">
                  <c:v>Ukraine</c:v>
                </c:pt>
                <c:pt idx="10">
                  <c:v>Poland</c:v>
                </c:pt>
                <c:pt idx="11">
                  <c:v>Italy</c:v>
                </c:pt>
                <c:pt idx="12">
                  <c:v>South Africa</c:v>
                </c:pt>
                <c:pt idx="13">
                  <c:v>Australia</c:v>
                </c:pt>
                <c:pt idx="14">
                  <c:v>Mexico</c:v>
                </c:pt>
                <c:pt idx="15">
                  <c:v>Kazakhstan</c:v>
                </c:pt>
                <c:pt idx="16">
                  <c:v>Spain</c:v>
                </c:pt>
                <c:pt idx="17">
                  <c:v>Czech Republic</c:v>
                </c:pt>
                <c:pt idx="18">
                  <c:v>Belgium</c:v>
                </c:pt>
                <c:pt idx="19">
                  <c:v>Brazil</c:v>
                </c:pt>
                <c:pt idx="20">
                  <c:v>South Korea</c:v>
                </c:pt>
                <c:pt idx="21">
                  <c:v>Netherlands</c:v>
                </c:pt>
                <c:pt idx="22">
                  <c:v>Iran</c:v>
                </c:pt>
                <c:pt idx="23">
                  <c:v>Romania</c:v>
                </c:pt>
                <c:pt idx="24">
                  <c:v>Saudi Arabia</c:v>
                </c:pt>
                <c:pt idx="25">
                  <c:v>Indonesia</c:v>
                </c:pt>
              </c:strCache>
            </c:strRef>
          </c:cat>
          <c:val>
            <c:numRef>
              <c:f>'Historical Vs Present Emissions'!$C$2:$C$27</c:f>
              <c:numCache>
                <c:formatCode>0.00%</c:formatCode>
                <c:ptCount val="26"/>
                <c:pt idx="0">
                  <c:v>0.29541067741476179</c:v>
                </c:pt>
                <c:pt idx="1">
                  <c:v>8.417163229898196E-2</c:v>
                </c:pt>
                <c:pt idx="2">
                  <c:v>8.3753722405910766E-2</c:v>
                </c:pt>
                <c:pt idx="3">
                  <c:v>6.9097125994342479E-2</c:v>
                </c:pt>
                <c:pt idx="4">
                  <c:v>5.1770617490256264E-2</c:v>
                </c:pt>
                <c:pt idx="5">
                  <c:v>4.0069985125861379E-2</c:v>
                </c:pt>
                <c:pt idx="6">
                  <c:v>2.6761342856260629E-2</c:v>
                </c:pt>
                <c:pt idx="7">
                  <c:v>2.3513226665109983E-2</c:v>
                </c:pt>
                <c:pt idx="8">
                  <c:v>2.2212760150785379E-2</c:v>
                </c:pt>
                <c:pt idx="9">
                  <c:v>2.1435596031198021E-2</c:v>
                </c:pt>
                <c:pt idx="10">
                  <c:v>1.9955033158282894E-2</c:v>
                </c:pt>
                <c:pt idx="11">
                  <c:v>1.6556758460751404E-2</c:v>
                </c:pt>
                <c:pt idx="12">
                  <c:v>1.2427211837145196E-2</c:v>
                </c:pt>
                <c:pt idx="13">
                  <c:v>1.1195630537622804E-2</c:v>
                </c:pt>
                <c:pt idx="14">
                  <c:v>1.0753507585397705E-2</c:v>
                </c:pt>
                <c:pt idx="15">
                  <c:v>9.3570334760558482E-3</c:v>
                </c:pt>
                <c:pt idx="16">
                  <c:v>9.3346035491652102E-3</c:v>
                </c:pt>
                <c:pt idx="17">
                  <c:v>8.8214368536086735E-3</c:v>
                </c:pt>
                <c:pt idx="18">
                  <c:v>8.7620303945217509E-3</c:v>
                </c:pt>
                <c:pt idx="19">
                  <c:v>8.5743322615456953E-3</c:v>
                </c:pt>
                <c:pt idx="20">
                  <c:v>8.4505453428479864E-3</c:v>
                </c:pt>
                <c:pt idx="21">
                  <c:v>8.0423019036250654E-3</c:v>
                </c:pt>
                <c:pt idx="22">
                  <c:v>7.1228625992418564E-3</c:v>
                </c:pt>
                <c:pt idx="23">
                  <c:v>6.3434461020587841E-3</c:v>
                </c:pt>
                <c:pt idx="24">
                  <c:v>5.8391012187521225E-3</c:v>
                </c:pt>
                <c:pt idx="25">
                  <c:v>5.7885165719150748E-3</c:v>
                </c:pt>
              </c:numCache>
            </c:numRef>
          </c:val>
        </c:ser>
        <c:ser>
          <c:idx val="1"/>
          <c:order val="1"/>
          <c:tx>
            <c:strRef>
              <c:f>'Historical Vs Present Emissions'!$F$1</c:f>
              <c:strCache>
                <c:ptCount val="1"/>
                <c:pt idx="0">
                  <c:v>Share of 2006 Emissions</c:v>
                </c:pt>
              </c:strCache>
            </c:strRef>
          </c:tx>
          <c:invertIfNegative val="0"/>
          <c:cat>
            <c:strRef>
              <c:f>'Historical Vs Present Emissions'!$A$2:$A$27</c:f>
              <c:strCache>
                <c:ptCount val="26"/>
                <c:pt idx="0">
                  <c:v>United States</c:v>
                </c:pt>
                <c:pt idx="1">
                  <c:v>Russia</c:v>
                </c:pt>
                <c:pt idx="2">
                  <c:v>China</c:v>
                </c:pt>
                <c:pt idx="3">
                  <c:v>Germany</c:v>
                </c:pt>
                <c:pt idx="4">
                  <c:v>United Kingdom</c:v>
                </c:pt>
                <c:pt idx="5">
                  <c:v>Japan</c:v>
                </c:pt>
                <c:pt idx="6">
                  <c:v>France</c:v>
                </c:pt>
                <c:pt idx="7">
                  <c:v>India</c:v>
                </c:pt>
                <c:pt idx="8">
                  <c:v>Canada</c:v>
                </c:pt>
                <c:pt idx="9">
                  <c:v>Ukraine</c:v>
                </c:pt>
                <c:pt idx="10">
                  <c:v>Poland</c:v>
                </c:pt>
                <c:pt idx="11">
                  <c:v>Italy</c:v>
                </c:pt>
                <c:pt idx="12">
                  <c:v>South Africa</c:v>
                </c:pt>
                <c:pt idx="13">
                  <c:v>Australia</c:v>
                </c:pt>
                <c:pt idx="14">
                  <c:v>Mexico</c:v>
                </c:pt>
                <c:pt idx="15">
                  <c:v>Kazakhstan</c:v>
                </c:pt>
                <c:pt idx="16">
                  <c:v>Spain</c:v>
                </c:pt>
                <c:pt idx="17">
                  <c:v>Czech Republic</c:v>
                </c:pt>
                <c:pt idx="18">
                  <c:v>Belgium</c:v>
                </c:pt>
                <c:pt idx="19">
                  <c:v>Brazil</c:v>
                </c:pt>
                <c:pt idx="20">
                  <c:v>South Korea</c:v>
                </c:pt>
                <c:pt idx="21">
                  <c:v>Netherlands</c:v>
                </c:pt>
                <c:pt idx="22">
                  <c:v>Iran</c:v>
                </c:pt>
                <c:pt idx="23">
                  <c:v>Romania</c:v>
                </c:pt>
                <c:pt idx="24">
                  <c:v>Saudi Arabia</c:v>
                </c:pt>
                <c:pt idx="25">
                  <c:v>Indonesia</c:v>
                </c:pt>
              </c:strCache>
            </c:strRef>
          </c:cat>
          <c:val>
            <c:numRef>
              <c:f>'Historical Vs Present Emissions'!$F$2:$F$27</c:f>
              <c:numCache>
                <c:formatCode>0.00%</c:formatCode>
                <c:ptCount val="26"/>
                <c:pt idx="0">
                  <c:v>0.20199999999999999</c:v>
                </c:pt>
                <c:pt idx="1">
                  <c:v>5.5E-2</c:v>
                </c:pt>
                <c:pt idx="2">
                  <c:v>0.215</c:v>
                </c:pt>
                <c:pt idx="3">
                  <c:v>2.7999999999999997E-2</c:v>
                </c:pt>
                <c:pt idx="4">
                  <c:v>0.02</c:v>
                </c:pt>
                <c:pt idx="5">
                  <c:v>4.5999999999999999E-2</c:v>
                </c:pt>
                <c:pt idx="6">
                  <c:v>1.3999999999999999E-2</c:v>
                </c:pt>
                <c:pt idx="7">
                  <c:v>5.2999999999999999E-2</c:v>
                </c:pt>
                <c:pt idx="8">
                  <c:v>1.9E-2</c:v>
                </c:pt>
                <c:pt idx="9">
                  <c:v>1.1000000000000001E-2</c:v>
                </c:pt>
                <c:pt idx="10">
                  <c:v>1.1000000000000001E-2</c:v>
                </c:pt>
                <c:pt idx="11">
                  <c:v>1.7000000000000001E-2</c:v>
                </c:pt>
                <c:pt idx="12">
                  <c:v>1.4999999999999999E-2</c:v>
                </c:pt>
                <c:pt idx="13">
                  <c:v>1.3000000000000001E-2</c:v>
                </c:pt>
                <c:pt idx="14">
                  <c:v>1.6E-2</c:v>
                </c:pt>
                <c:pt idx="15">
                  <c:v>6.9999999999999993E-3</c:v>
                </c:pt>
                <c:pt idx="16">
                  <c:v>1.2E-2</c:v>
                </c:pt>
                <c:pt idx="17">
                  <c:v>4.0000000000000001E-3</c:v>
                </c:pt>
                <c:pt idx="18">
                  <c:v>4.0000000000000001E-3</c:v>
                </c:pt>
                <c:pt idx="19">
                  <c:v>1.2E-2</c:v>
                </c:pt>
                <c:pt idx="20">
                  <c:v>1.7000000000000001E-2</c:v>
                </c:pt>
                <c:pt idx="21">
                  <c:v>6.0000000000000001E-3</c:v>
                </c:pt>
                <c:pt idx="22">
                  <c:v>1.6E-2</c:v>
                </c:pt>
                <c:pt idx="23">
                  <c:v>4.0000000000000001E-3</c:v>
                </c:pt>
                <c:pt idx="24">
                  <c:v>1.3000000000000001E-2</c:v>
                </c:pt>
                <c:pt idx="25">
                  <c:v>1.2E-2</c:v>
                </c:pt>
              </c:numCache>
            </c:numRef>
          </c:val>
        </c:ser>
        <c:dLbls>
          <c:showLegendKey val="0"/>
          <c:showVal val="0"/>
          <c:showCatName val="0"/>
          <c:showSerName val="0"/>
          <c:showPercent val="0"/>
          <c:showBubbleSize val="0"/>
        </c:dLbls>
        <c:gapWidth val="150"/>
        <c:shape val="box"/>
        <c:axId val="143612928"/>
        <c:axId val="143622912"/>
        <c:axId val="0"/>
      </c:bar3DChart>
      <c:catAx>
        <c:axId val="143612928"/>
        <c:scaling>
          <c:orientation val="minMax"/>
        </c:scaling>
        <c:delete val="0"/>
        <c:axPos val="b"/>
        <c:numFmt formatCode="General" sourceLinked="1"/>
        <c:majorTickMark val="out"/>
        <c:minorTickMark val="none"/>
        <c:tickLblPos val="nextTo"/>
        <c:spPr>
          <a:ln w="3175">
            <a:solidFill>
              <a:srgbClr val="FFFFFF"/>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43622912"/>
        <c:crosses val="autoZero"/>
        <c:auto val="1"/>
        <c:lblAlgn val="ctr"/>
        <c:lblOffset val="100"/>
        <c:noMultiLvlLbl val="0"/>
      </c:catAx>
      <c:valAx>
        <c:axId val="143622912"/>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3612928"/>
        <c:crosses val="autoZero"/>
        <c:crossBetween val="between"/>
      </c:valAx>
      <c:spPr>
        <a:noFill/>
        <a:ln w="25400">
          <a:noFill/>
        </a:ln>
      </c:spPr>
    </c:plotArea>
    <c:legend>
      <c:legendPos val="r"/>
      <c:layout>
        <c:manualLayout>
          <c:xMode val="edge"/>
          <c:yMode val="edge"/>
          <c:x val="0.79438449715019854"/>
          <c:y val="0.46296329001199932"/>
          <c:w val="0.18387691325141423"/>
          <c:h val="6.4814860601679916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Times New Roman"/>
                <a:ea typeface="Times New Roman"/>
                <a:cs typeface="Times New Roman"/>
              </a:defRPr>
            </a:pPr>
            <a:r>
              <a:rPr lang="en-US"/>
              <a:t>Social Optimum for Public Good</a:t>
            </a:r>
          </a:p>
        </c:rich>
      </c:tx>
      <c:layout>
        <c:manualLayout>
          <c:xMode val="edge"/>
          <c:yMode val="edge"/>
          <c:x val="0.14736842105263157"/>
          <c:y val="3.287671232876712E-2"/>
        </c:manualLayout>
      </c:layout>
      <c:overlay val="0"/>
      <c:spPr>
        <a:noFill/>
        <a:ln w="25400">
          <a:noFill/>
        </a:ln>
      </c:spPr>
    </c:title>
    <c:autoTitleDeleted val="0"/>
    <c:plotArea>
      <c:layout>
        <c:manualLayout>
          <c:layoutTarget val="inner"/>
          <c:xMode val="edge"/>
          <c:yMode val="edge"/>
          <c:x val="0.13947368421052631"/>
          <c:y val="0.30410958904109592"/>
          <c:w val="0.7868421052631579"/>
          <c:h val="0.46849315068493153"/>
        </c:manualLayout>
      </c:layout>
      <c:scatterChart>
        <c:scatterStyle val="lineMarker"/>
        <c:varyColors val="0"/>
        <c:ser>
          <c:idx val="0"/>
          <c:order val="0"/>
          <c:spPr>
            <a:ln w="12700">
              <a:solidFill>
                <a:srgbClr val="9999FF"/>
              </a:solidFill>
              <a:prstDash val="solid"/>
            </a:ln>
          </c:spPr>
          <c:marker>
            <c:symbol val="none"/>
          </c:marker>
          <c:xVal>
            <c:numRef>
              <c:f>'public good'!$B$8:$B$10</c:f>
              <c:numCache>
                <c:formatCode>General</c:formatCode>
                <c:ptCount val="3"/>
                <c:pt idx="0">
                  <c:v>0</c:v>
                </c:pt>
                <c:pt idx="1">
                  <c:v>100</c:v>
                </c:pt>
                <c:pt idx="2">
                  <c:v>100</c:v>
                </c:pt>
              </c:numCache>
            </c:numRef>
          </c:xVal>
          <c:yVal>
            <c:numRef>
              <c:f>'public good'!$C$8:$C$10</c:f>
              <c:numCache>
                <c:formatCode>General</c:formatCode>
                <c:ptCount val="3"/>
                <c:pt idx="0">
                  <c:v>300</c:v>
                </c:pt>
                <c:pt idx="1">
                  <c:v>0</c:v>
                </c:pt>
                <c:pt idx="2">
                  <c:v>0</c:v>
                </c:pt>
              </c:numCache>
            </c:numRef>
          </c:yVal>
          <c:smooth val="0"/>
        </c:ser>
        <c:ser>
          <c:idx val="1"/>
          <c:order val="1"/>
          <c:spPr>
            <a:ln w="12700">
              <a:solidFill>
                <a:srgbClr val="DD0806"/>
              </a:solidFill>
              <a:prstDash val="solid"/>
            </a:ln>
          </c:spPr>
          <c:marker>
            <c:symbol val="none"/>
          </c:marker>
          <c:xVal>
            <c:numRef>
              <c:f>'public good'!$B$8:$B$10</c:f>
              <c:numCache>
                <c:formatCode>General</c:formatCode>
                <c:ptCount val="3"/>
                <c:pt idx="0">
                  <c:v>0</c:v>
                </c:pt>
                <c:pt idx="1">
                  <c:v>100</c:v>
                </c:pt>
                <c:pt idx="2">
                  <c:v>100</c:v>
                </c:pt>
              </c:numCache>
            </c:numRef>
          </c:xVal>
          <c:yVal>
            <c:numRef>
              <c:f>'public good'!$D$8:$D$10</c:f>
              <c:numCache>
                <c:formatCode>General</c:formatCode>
                <c:ptCount val="3"/>
                <c:pt idx="0">
                  <c:v>10</c:v>
                </c:pt>
                <c:pt idx="1">
                  <c:v>10</c:v>
                </c:pt>
                <c:pt idx="2">
                  <c:v>10</c:v>
                </c:pt>
              </c:numCache>
            </c:numRef>
          </c:yVal>
          <c:smooth val="0"/>
        </c:ser>
        <c:dLbls>
          <c:showLegendKey val="0"/>
          <c:showVal val="0"/>
          <c:showCatName val="0"/>
          <c:showSerName val="0"/>
          <c:showPercent val="0"/>
          <c:showBubbleSize val="0"/>
        </c:dLbls>
        <c:axId val="173309952"/>
        <c:axId val="173311872"/>
      </c:scatterChart>
      <c:valAx>
        <c:axId val="173309952"/>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Abatement</a:t>
                </a:r>
              </a:p>
            </c:rich>
          </c:tx>
          <c:layout>
            <c:manualLayout>
              <c:xMode val="edge"/>
              <c:yMode val="edge"/>
              <c:x val="0.43157894736842106"/>
              <c:y val="0.8794520547945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73311872"/>
        <c:crosses val="autoZero"/>
        <c:crossBetween val="midCat"/>
      </c:valAx>
      <c:valAx>
        <c:axId val="173311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7330995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pageSetup orientation="landscape" verticalDpi="0" r:id="rId1"/>
  <drawing r:id="rId2"/>
</chartsheet>
</file>

<file path=xl/chartsheets/sheet2.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3">
    <tabColor theme="1"/>
  </sheetPr>
  <sheetViews>
    <sheetView zoomScale="67"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hyperlink" Target="http://edgar.jrc.ec.europa.eu/overview.php?v=intro&amp;sort=des" TargetMode="External"/><Relationship Id="rId2" Type="http://schemas.openxmlformats.org/officeDocument/2006/relationships/image" Target="../media/image2.gif"/><Relationship Id="rId1" Type="http://schemas.openxmlformats.org/officeDocument/2006/relationships/hyperlink" Target="http://edgar.jrc.ec.europa.eu/overview.php?v=intro&amp;sort=asc" TargetMode="External"/><Relationship Id="rId5" Type="http://schemas.openxmlformats.org/officeDocument/2006/relationships/image" Target="../media/image4.gif"/><Relationship Id="rId4" Type="http://schemas.openxmlformats.org/officeDocument/2006/relationships/image" Target="../media/image3.gif"/></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14</xdr:col>
      <xdr:colOff>393700</xdr:colOff>
      <xdr:row>0</xdr:row>
      <xdr:rowOff>171450</xdr:rowOff>
    </xdr:from>
    <xdr:to>
      <xdr:col>17</xdr:col>
      <xdr:colOff>412750</xdr:colOff>
      <xdr:row>17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50800</xdr:colOff>
      <xdr:row>0</xdr:row>
      <xdr:rowOff>146050</xdr:rowOff>
    </xdr:from>
    <xdr:to>
      <xdr:col>20</xdr:col>
      <xdr:colOff>146050</xdr:colOff>
      <xdr:row>17</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266700</xdr:colOff>
      <xdr:row>3</xdr:row>
      <xdr:rowOff>184150</xdr:rowOff>
    </xdr:from>
    <xdr:to>
      <xdr:col>15</xdr:col>
      <xdr:colOff>502920</xdr:colOff>
      <xdr:row>21</xdr:row>
      <xdr:rowOff>62230</xdr:rowOff>
    </xdr:to>
    <xdr:graphicFrame macro="">
      <xdr:nvGraphicFramePr>
        <xdr:cNvPr id="10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152400</xdr:colOff>
      <xdr:row>9</xdr:row>
      <xdr:rowOff>152400</xdr:rowOff>
    </xdr:to>
    <xdr:pic>
      <xdr:nvPicPr>
        <xdr:cNvPr id="2" name="Picture 1" descr="http://edgar.jrc.ec.europa.eu/img/sort_ASC_on.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9</xdr:row>
      <xdr:rowOff>0</xdr:rowOff>
    </xdr:from>
    <xdr:to>
      <xdr:col>0</xdr:col>
      <xdr:colOff>311150</xdr:colOff>
      <xdr:row>9</xdr:row>
      <xdr:rowOff>152400</xdr:rowOff>
    </xdr:to>
    <xdr:pic>
      <xdr:nvPicPr>
        <xdr:cNvPr id="3" name="Picture 2"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87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152400</xdr:colOff>
      <xdr:row>9</xdr:row>
      <xdr:rowOff>152400</xdr:rowOff>
    </xdr:to>
    <xdr:pic>
      <xdr:nvPicPr>
        <xdr:cNvPr id="4" name="Picture 3"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04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9</xdr:row>
      <xdr:rowOff>0</xdr:rowOff>
    </xdr:from>
    <xdr:to>
      <xdr:col>1</xdr:col>
      <xdr:colOff>311150</xdr:colOff>
      <xdr:row>9</xdr:row>
      <xdr:rowOff>152400</xdr:rowOff>
    </xdr:to>
    <xdr:pic>
      <xdr:nvPicPr>
        <xdr:cNvPr id="5" name="Picture 4"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1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152400</xdr:colOff>
      <xdr:row>9</xdr:row>
      <xdr:rowOff>152400</xdr:rowOff>
    </xdr:to>
    <xdr:pic>
      <xdr:nvPicPr>
        <xdr:cNvPr id="6" name="Picture 5"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208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158750</xdr:colOff>
      <xdr:row>9</xdr:row>
      <xdr:rowOff>0</xdr:rowOff>
    </xdr:from>
    <xdr:to>
      <xdr:col>2</xdr:col>
      <xdr:colOff>311150</xdr:colOff>
      <xdr:row>9</xdr:row>
      <xdr:rowOff>152400</xdr:rowOff>
    </xdr:to>
    <xdr:pic>
      <xdr:nvPicPr>
        <xdr:cNvPr id="7" name="Picture 6"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795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152400</xdr:colOff>
      <xdr:row>9</xdr:row>
      <xdr:rowOff>152400</xdr:rowOff>
    </xdr:to>
    <xdr:pic>
      <xdr:nvPicPr>
        <xdr:cNvPr id="8" name="Picture 7"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158750</xdr:colOff>
      <xdr:row>9</xdr:row>
      <xdr:rowOff>0</xdr:rowOff>
    </xdr:from>
    <xdr:to>
      <xdr:col>3</xdr:col>
      <xdr:colOff>311150</xdr:colOff>
      <xdr:row>9</xdr:row>
      <xdr:rowOff>152400</xdr:rowOff>
    </xdr:to>
    <xdr:pic>
      <xdr:nvPicPr>
        <xdr:cNvPr id="9" name="Picture 8"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9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152400</xdr:colOff>
      <xdr:row>9</xdr:row>
      <xdr:rowOff>152400</xdr:rowOff>
    </xdr:to>
    <xdr:pic>
      <xdr:nvPicPr>
        <xdr:cNvPr id="10" name="Picture 9"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416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158750</xdr:colOff>
      <xdr:row>9</xdr:row>
      <xdr:rowOff>0</xdr:rowOff>
    </xdr:from>
    <xdr:to>
      <xdr:col>4</xdr:col>
      <xdr:colOff>311150</xdr:colOff>
      <xdr:row>9</xdr:row>
      <xdr:rowOff>152400</xdr:rowOff>
    </xdr:to>
    <xdr:pic>
      <xdr:nvPicPr>
        <xdr:cNvPr id="11" name="Picture 10"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003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152400</xdr:colOff>
      <xdr:row>9</xdr:row>
      <xdr:rowOff>152400</xdr:rowOff>
    </xdr:to>
    <xdr:pic>
      <xdr:nvPicPr>
        <xdr:cNvPr id="12" name="Picture 11"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020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158750</xdr:colOff>
      <xdr:row>9</xdr:row>
      <xdr:rowOff>0</xdr:rowOff>
    </xdr:from>
    <xdr:to>
      <xdr:col>5</xdr:col>
      <xdr:colOff>311150</xdr:colOff>
      <xdr:row>9</xdr:row>
      <xdr:rowOff>152400</xdr:rowOff>
    </xdr:to>
    <xdr:pic>
      <xdr:nvPicPr>
        <xdr:cNvPr id="13" name="Picture 12"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607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14" name="Picture 13"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624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158750</xdr:colOff>
      <xdr:row>9</xdr:row>
      <xdr:rowOff>0</xdr:rowOff>
    </xdr:from>
    <xdr:to>
      <xdr:col>6</xdr:col>
      <xdr:colOff>311150</xdr:colOff>
      <xdr:row>9</xdr:row>
      <xdr:rowOff>152400</xdr:rowOff>
    </xdr:to>
    <xdr:pic>
      <xdr:nvPicPr>
        <xdr:cNvPr id="15" name="Picture 14"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211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152400</xdr:colOff>
      <xdr:row>9</xdr:row>
      <xdr:rowOff>152400</xdr:rowOff>
    </xdr:to>
    <xdr:pic>
      <xdr:nvPicPr>
        <xdr:cNvPr id="16" name="Picture 15"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228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158750</xdr:colOff>
      <xdr:row>9</xdr:row>
      <xdr:rowOff>0</xdr:rowOff>
    </xdr:from>
    <xdr:to>
      <xdr:col>7</xdr:col>
      <xdr:colOff>311150</xdr:colOff>
      <xdr:row>9</xdr:row>
      <xdr:rowOff>152400</xdr:rowOff>
    </xdr:to>
    <xdr:pic>
      <xdr:nvPicPr>
        <xdr:cNvPr id="17" name="Picture 16"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815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152400</xdr:colOff>
      <xdr:row>9</xdr:row>
      <xdr:rowOff>152400</xdr:rowOff>
    </xdr:to>
    <xdr:pic>
      <xdr:nvPicPr>
        <xdr:cNvPr id="18" name="Picture 17" descr="http://edgar.jrc.ec.europa.eu/img/sort_ASC.gif">
          <a:hlinkClick xmlns:r="http://schemas.openxmlformats.org/officeDocument/2006/relationships" r:id="rId1" tooltip="Sort ascending"/>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8320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158750</xdr:colOff>
      <xdr:row>9</xdr:row>
      <xdr:rowOff>0</xdr:rowOff>
    </xdr:from>
    <xdr:to>
      <xdr:col>8</xdr:col>
      <xdr:colOff>311150</xdr:colOff>
      <xdr:row>9</xdr:row>
      <xdr:rowOff>152400</xdr:rowOff>
    </xdr:to>
    <xdr:pic>
      <xdr:nvPicPr>
        <xdr:cNvPr id="19" name="Picture 18" descr="http://edgar.jrc.ec.europa.eu/img/sort_DESC.gif">
          <a:hlinkClick xmlns:r="http://schemas.openxmlformats.org/officeDocument/2006/relationships" r:id="rId3" tooltip="Sort descending"/>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41950" y="1417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34925</xdr:colOff>
      <xdr:row>11</xdr:row>
      <xdr:rowOff>12700</xdr:rowOff>
    </xdr:from>
    <xdr:to>
      <xdr:col>6</xdr:col>
      <xdr:colOff>130175</xdr:colOff>
      <xdr:row>28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53060" cy="62647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3060" cy="62647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0.24315</cdr:x>
      <cdr:y>0.34796</cdr:y>
    </cdr:from>
    <cdr:to>
      <cdr:x>0.54326</cdr:x>
      <cdr:y>0.6823</cdr:y>
    </cdr:to>
    <cdr:sp macro="" textlink="">
      <cdr:nvSpPr>
        <cdr:cNvPr id="2" name="Right Triangle 1"/>
        <cdr:cNvSpPr/>
      </cdr:nvSpPr>
      <cdr:spPr bwMode="auto">
        <a:xfrm xmlns:a="http://schemas.openxmlformats.org/drawingml/2006/main">
          <a:off x="2104029" y="2179852"/>
          <a:ext cx="2596827" cy="2094572"/>
        </a:xfrm>
        <a:prstGeom xmlns:a="http://schemas.openxmlformats.org/drawingml/2006/main" prst="rtTriangle">
          <a:avLst/>
        </a:prstGeom>
        <a:solidFill xmlns:a="http://schemas.openxmlformats.org/drawingml/2006/main">
          <a:schemeClr val="bg1">
            <a:lumMod val="85000"/>
            <a:alpha val="53000"/>
          </a:schemeClr>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53060" cy="62647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3060" cy="62647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3060" cy="62647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8668956" cy="6293734"/>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487680</xdr:colOff>
      <xdr:row>39</xdr:row>
      <xdr:rowOff>45720</xdr:rowOff>
    </xdr:to>
    <xdr:graphicFrame macro="">
      <xdr:nvGraphicFramePr>
        <xdr:cNvPr id="143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www.guardian.co.uk/environment/datablog/2009/sep/02/co2-emissions-historical" TargetMode="External"/><Relationship Id="rId1" Type="http://schemas.openxmlformats.org/officeDocument/2006/relationships/hyperlink" Target="http://www.iea.org/co2highlight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8" Type="http://schemas.openxmlformats.org/officeDocument/2006/relationships/hyperlink" Target="http://unfccc.int/kyoto_protocol/status_of_ratification/items/5424.php" TargetMode="External"/><Relationship Id="rId13" Type="http://schemas.openxmlformats.org/officeDocument/2006/relationships/hyperlink" Target="http://unfccc.int/ghg_data/ghg_data_unfccc/items/4146.php" TargetMode="External"/><Relationship Id="rId3" Type="http://schemas.openxmlformats.org/officeDocument/2006/relationships/hyperlink" Target="http://unfccc.int/kyoto_protocol/status_of_ratification/items/5424.php" TargetMode="External"/><Relationship Id="rId7" Type="http://schemas.openxmlformats.org/officeDocument/2006/relationships/hyperlink" Target="http://unfccc.int/kyoto_protocol/status_of_ratification/items/5424.php" TargetMode="External"/><Relationship Id="rId12" Type="http://schemas.openxmlformats.org/officeDocument/2006/relationships/hyperlink" Target="http://unfccc.int/kyoto_protocol/status_of_ratification/items/2613.php" TargetMode="External"/><Relationship Id="rId2" Type="http://schemas.openxmlformats.org/officeDocument/2006/relationships/hyperlink" Target="http://unfccc.int/kyoto_protocol/status_of_ratification/items/5424.php" TargetMode="External"/><Relationship Id="rId1" Type="http://schemas.openxmlformats.org/officeDocument/2006/relationships/hyperlink" Target="http://unfccc.int/kyoto_protocol/background/items/6603.php" TargetMode="External"/><Relationship Id="rId6" Type="http://schemas.openxmlformats.org/officeDocument/2006/relationships/hyperlink" Target="http://unfccc.int/kyoto_protocol/status_of_ratification/items/5424.php" TargetMode="External"/><Relationship Id="rId11" Type="http://schemas.openxmlformats.org/officeDocument/2006/relationships/hyperlink" Target="http://unfccc.int/kyoto_protocol/status_of_ratification/items/5424.php" TargetMode="External"/><Relationship Id="rId5" Type="http://schemas.openxmlformats.org/officeDocument/2006/relationships/hyperlink" Target="http://unfccc.int/kyoto_protocol/status_of_ratification/items/5424.php" TargetMode="External"/><Relationship Id="rId10" Type="http://schemas.openxmlformats.org/officeDocument/2006/relationships/hyperlink" Target="http://unfccc.int/kyoto_protocol/status_of_ratification/items/5424.php" TargetMode="External"/><Relationship Id="rId4" Type="http://schemas.openxmlformats.org/officeDocument/2006/relationships/hyperlink" Target="http://unfccc.int/kyoto_protocol/status_of_ratification/items/5424.php" TargetMode="External"/><Relationship Id="rId9" Type="http://schemas.openxmlformats.org/officeDocument/2006/relationships/hyperlink" Target="http://unfccc.int/kyoto_protocol/status_of_ratification/items/5424.php" TargetMode="External"/><Relationship Id="rId1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edgar.jrc.ec.europa.eu/overview.php"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eia.gov/cfapps/ipdbproject/IEDIndex3.cfm?tid=90&amp;pid=44&amp;aid=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9"/>
  <sheetViews>
    <sheetView workbookViewId="0">
      <selection activeCell="L19" sqref="L19"/>
    </sheetView>
  </sheetViews>
  <sheetFormatPr defaultColWidth="8.9140625" defaultRowHeight="15.5" x14ac:dyDescent="0.35"/>
  <cols>
    <col min="1" max="1" width="4.83203125" customWidth="1"/>
    <col min="2" max="2" width="6.08203125" customWidth="1"/>
    <col min="3" max="3" width="5.1640625" customWidth="1"/>
    <col min="4" max="4" width="4.58203125" customWidth="1"/>
    <col min="5" max="5" width="4.83203125" customWidth="1"/>
    <col min="6" max="6" width="5.5" customWidth="1"/>
    <col min="7" max="7" width="5.33203125" customWidth="1"/>
    <col min="8" max="8" width="6.33203125" customWidth="1"/>
    <col min="9" max="9" width="6.4140625" customWidth="1"/>
    <col min="10" max="10" width="5.1640625" customWidth="1"/>
    <col min="11" max="11" width="6.9140625" customWidth="1"/>
    <col min="12" max="12" width="5.6640625" customWidth="1"/>
    <col min="13" max="13" width="5.5" customWidth="1"/>
  </cols>
  <sheetData>
    <row r="1" spans="2:13" x14ac:dyDescent="0.35">
      <c r="B1" t="s">
        <v>44</v>
      </c>
      <c r="C1">
        <v>150</v>
      </c>
      <c r="D1">
        <v>-1</v>
      </c>
      <c r="E1" t="s">
        <v>45</v>
      </c>
      <c r="F1" t="s">
        <v>46</v>
      </c>
      <c r="G1">
        <f>-(C1-$C$3)/D1</f>
        <v>70</v>
      </c>
      <c r="H1" s="2" t="s">
        <v>47</v>
      </c>
      <c r="I1">
        <f>-C1/D1</f>
        <v>150</v>
      </c>
      <c r="L1" s="157">
        <f>MAX(L2:M2)</f>
        <v>150</v>
      </c>
      <c r="M1">
        <f>MAX(K3:K4)</f>
        <v>150</v>
      </c>
    </row>
    <row r="2" spans="2:13" x14ac:dyDescent="0.35">
      <c r="B2" t="s">
        <v>48</v>
      </c>
      <c r="C2">
        <v>110</v>
      </c>
      <c r="D2">
        <v>-1.1000000000000001</v>
      </c>
      <c r="E2" t="s">
        <v>45</v>
      </c>
      <c r="F2" t="s">
        <v>49</v>
      </c>
      <c r="G2">
        <f>-(C2-$C$3)/D2</f>
        <v>27.27272727272727</v>
      </c>
      <c r="H2" s="2" t="s">
        <v>47</v>
      </c>
      <c r="I2">
        <f>-C2/D2</f>
        <v>99.999999999999986</v>
      </c>
      <c r="K2">
        <v>0</v>
      </c>
      <c r="L2">
        <f>MIN(-C1/D1,-C2/D2)</f>
        <v>99.999999999999986</v>
      </c>
      <c r="M2">
        <f>MAX(-C1/D1,-C2/D2)</f>
        <v>150</v>
      </c>
    </row>
    <row r="3" spans="2:13" x14ac:dyDescent="0.35">
      <c r="B3" t="s">
        <v>50</v>
      </c>
      <c r="C3">
        <v>80</v>
      </c>
      <c r="J3" s="157" t="s">
        <v>44</v>
      </c>
      <c r="K3">
        <f>+C1</f>
        <v>150</v>
      </c>
      <c r="L3">
        <f>IF(+C1+D1*L$2&gt;0,+C1+D1*L$2,0)</f>
        <v>50.000000000000014</v>
      </c>
      <c r="M3">
        <f>IF(+C1+D1*M$2&gt;0,+C1+D1*M$2,0)</f>
        <v>0</v>
      </c>
    </row>
    <row r="4" spans="2:13" x14ac:dyDescent="0.35">
      <c r="B4" t="s">
        <v>51</v>
      </c>
      <c r="C4">
        <f>+C1+C2</f>
        <v>260</v>
      </c>
      <c r="D4">
        <f>+D1+D2</f>
        <v>-2.1</v>
      </c>
      <c r="F4" t="s">
        <v>52</v>
      </c>
      <c r="G4">
        <f>ROUND(IF(-(C4-$C$3)/D4&lt;C2,-(C4-$C$3)/D4,(C3-C1)/D1),3)</f>
        <v>85.713999999999999</v>
      </c>
      <c r="J4" s="157" t="s">
        <v>48</v>
      </c>
      <c r="K4">
        <f>+C2</f>
        <v>110</v>
      </c>
      <c r="L4">
        <f>IF(+C2+D2*L$2&gt;0,+C2+D2*L$2,0)</f>
        <v>0</v>
      </c>
      <c r="M4">
        <f>IF(+C2+D2*M$2&gt;0,+C2+D2*M$2,0)</f>
        <v>0</v>
      </c>
    </row>
    <row r="5" spans="2:13" x14ac:dyDescent="0.35">
      <c r="K5">
        <f>C3</f>
        <v>80</v>
      </c>
      <c r="L5">
        <f>K5</f>
        <v>80</v>
      </c>
    </row>
    <row r="6" spans="2:13" x14ac:dyDescent="0.35">
      <c r="K6" s="157" t="s">
        <v>625</v>
      </c>
    </row>
    <row r="7" spans="2:13" x14ac:dyDescent="0.35">
      <c r="B7" t="s">
        <v>45</v>
      </c>
      <c r="C7" t="s">
        <v>53</v>
      </c>
      <c r="E7" s="158" t="s">
        <v>44</v>
      </c>
      <c r="F7" s="158" t="s">
        <v>48</v>
      </c>
      <c r="K7" s="157">
        <f>-(C1-C3)/D1</f>
        <v>70</v>
      </c>
      <c r="L7">
        <v>0</v>
      </c>
    </row>
    <row r="8" spans="2:13" x14ac:dyDescent="0.35">
      <c r="B8">
        <v>0</v>
      </c>
      <c r="C8">
        <f>MAX(0,+C$1+$D$1*B8)+MAX(0,$C$2+$D$2*B8)</f>
        <v>260</v>
      </c>
      <c r="D8">
        <f>+$C$3+$D$3*B8</f>
        <v>80</v>
      </c>
      <c r="E8">
        <f>+$C$1+$D$1*B8</f>
        <v>150</v>
      </c>
      <c r="F8">
        <f>+$C$2+$D$2*B8</f>
        <v>110</v>
      </c>
      <c r="K8">
        <f>+K7</f>
        <v>70</v>
      </c>
      <c r="L8">
        <f>C1+D1*K8</f>
        <v>80</v>
      </c>
    </row>
    <row r="9" spans="2:13" x14ac:dyDescent="0.35">
      <c r="B9">
        <f>-MAX(C1/D1,C2/D2)</f>
        <v>99.999999999999986</v>
      </c>
      <c r="C9">
        <f>MAX(0,+C$1+$D$1*B9)+MAX(0,$C$2+$D$2*B9)</f>
        <v>50.000000000000014</v>
      </c>
      <c r="D9">
        <f>+$C$3+$D$3*B9</f>
        <v>80</v>
      </c>
      <c r="E9">
        <f>IF($C$1+$D$1*B9&gt;0,$C$1+$D$1*B9,0)</f>
        <v>50.000000000000014</v>
      </c>
      <c r="F9">
        <f>IF($C$2+$D$2*B9&gt;0,$C$2+$D$2*B9,0)</f>
        <v>0</v>
      </c>
      <c r="K9" s="157" t="s">
        <v>626</v>
      </c>
    </row>
    <row r="10" spans="2:13" x14ac:dyDescent="0.35">
      <c r="B10">
        <f>-MIN(C1/D1,C2/D2)</f>
        <v>150</v>
      </c>
      <c r="C10">
        <f>MAX(0,+C$1+$D$1*B10)+MAX(0,$C$2+$D$2*B10)</f>
        <v>0</v>
      </c>
      <c r="D10">
        <f>+$C$3+$D$3*B10</f>
        <v>80</v>
      </c>
      <c r="E10">
        <f>IF($C$1+$D$1*B10&gt;0,$C$1+$D$1*B10,0)</f>
        <v>0</v>
      </c>
      <c r="F10">
        <f>IF($C$2+$D$2*B10&gt;0,$C$2+$D$2*B10,0)</f>
        <v>0</v>
      </c>
      <c r="K10">
        <f>ROUND(-(C2-C3)/D2,3)</f>
        <v>27.273</v>
      </c>
      <c r="L10">
        <v>0</v>
      </c>
    </row>
    <row r="11" spans="2:13" x14ac:dyDescent="0.35">
      <c r="K11">
        <f>+K10</f>
        <v>27.273</v>
      </c>
      <c r="L11">
        <f>ROUND(+C2+D2*K11,3)</f>
        <v>80</v>
      </c>
    </row>
    <row r="12" spans="2:13" x14ac:dyDescent="0.35">
      <c r="K12" s="159" t="s">
        <v>52</v>
      </c>
    </row>
    <row r="13" spans="2:13" x14ac:dyDescent="0.35">
      <c r="K13">
        <f>G4</f>
        <v>85.713999999999999</v>
      </c>
      <c r="L13">
        <v>0</v>
      </c>
    </row>
    <row r="14" spans="2:13" x14ac:dyDescent="0.35">
      <c r="K14">
        <f>+K13</f>
        <v>85.713999999999999</v>
      </c>
      <c r="L14">
        <f>C3</f>
        <v>80</v>
      </c>
    </row>
    <row r="16" spans="2:13" x14ac:dyDescent="0.35">
      <c r="K16" t="s">
        <v>1092</v>
      </c>
      <c r="L16">
        <v>27</v>
      </c>
      <c r="M16">
        <v>205</v>
      </c>
    </row>
    <row r="17" spans="1:15" x14ac:dyDescent="0.35">
      <c r="K17" t="s">
        <v>1093</v>
      </c>
      <c r="L17" s="101">
        <v>27</v>
      </c>
      <c r="M17" s="101">
        <v>87</v>
      </c>
      <c r="N17" s="101"/>
      <c r="O17" s="101">
        <v>100</v>
      </c>
    </row>
    <row r="18" spans="1:15" x14ac:dyDescent="0.35">
      <c r="K18" t="s">
        <v>1094</v>
      </c>
      <c r="L18">
        <v>83</v>
      </c>
      <c r="M18">
        <v>87</v>
      </c>
      <c r="N18" s="101">
        <v>120</v>
      </c>
      <c r="O18" s="101">
        <v>100</v>
      </c>
    </row>
    <row r="23" spans="1:15" x14ac:dyDescent="0.35">
      <c r="A23" t="s">
        <v>54</v>
      </c>
    </row>
    <row r="25" spans="1:15" x14ac:dyDescent="0.35">
      <c r="B25" t="s">
        <v>55</v>
      </c>
      <c r="C25" t="s">
        <v>56</v>
      </c>
      <c r="E25" t="s">
        <v>57</v>
      </c>
      <c r="F25" t="s">
        <v>58</v>
      </c>
      <c r="G25" t="s">
        <v>59</v>
      </c>
      <c r="I25" t="s">
        <v>60</v>
      </c>
      <c r="J25" t="s">
        <v>61</v>
      </c>
    </row>
    <row r="26" spans="1:15" x14ac:dyDescent="0.35">
      <c r="B26" t="s">
        <v>62</v>
      </c>
      <c r="J26">
        <v>7.0000000000000007E-2</v>
      </c>
    </row>
    <row r="27" spans="1:15" x14ac:dyDescent="0.35">
      <c r="A27" t="s">
        <v>63</v>
      </c>
      <c r="B27">
        <f>+C27/1000*$J$26</f>
        <v>5.2500000000000003E-3</v>
      </c>
      <c r="C27">
        <v>75</v>
      </c>
    </row>
    <row r="28" spans="1:15" x14ac:dyDescent="0.35">
      <c r="A28" t="s">
        <v>64</v>
      </c>
      <c r="B28">
        <f>+C28/1000*$J$26</f>
        <v>1.4000000000000002E-3</v>
      </c>
      <c r="C28">
        <v>20</v>
      </c>
    </row>
    <row r="29" spans="1:15" x14ac:dyDescent="0.35">
      <c r="A29" t="s">
        <v>63</v>
      </c>
      <c r="B29">
        <f>D29/H29</f>
        <v>1E-3</v>
      </c>
      <c r="D29">
        <v>0.75</v>
      </c>
      <c r="E29">
        <v>0.1</v>
      </c>
      <c r="F29">
        <v>2</v>
      </c>
      <c r="H29">
        <v>750</v>
      </c>
      <c r="I29" s="2" t="s">
        <v>65</v>
      </c>
    </row>
    <row r="30" spans="1:15" x14ac:dyDescent="0.35">
      <c r="A30" t="s">
        <v>64</v>
      </c>
      <c r="B30">
        <f>+D30/H30/SUM(B33:B39)</f>
        <v>1.6183463612774204E-3</v>
      </c>
      <c r="D30">
        <v>13</v>
      </c>
      <c r="H30">
        <v>1500</v>
      </c>
    </row>
    <row r="31" spans="1:15" x14ac:dyDescent="0.35">
      <c r="A31" t="s">
        <v>66</v>
      </c>
      <c r="B31" s="3">
        <f>+B27+B29</f>
        <v>6.2500000000000003E-3</v>
      </c>
    </row>
    <row r="32" spans="1:15" x14ac:dyDescent="0.35">
      <c r="A32" t="s">
        <v>67</v>
      </c>
      <c r="B32" s="3">
        <f>+B28+B30</f>
        <v>3.0183463612774206E-3</v>
      </c>
    </row>
    <row r="33" spans="1:13" x14ac:dyDescent="0.35">
      <c r="B33">
        <f t="shared" ref="B33:B39" si="0">1/(1+$E$29)^C33</f>
        <v>1</v>
      </c>
      <c r="C33">
        <v>0</v>
      </c>
    </row>
    <row r="34" spans="1:13" x14ac:dyDescent="0.35">
      <c r="B34">
        <f t="shared" si="0"/>
        <v>0.90909090909090906</v>
      </c>
      <c r="C34">
        <v>1</v>
      </c>
    </row>
    <row r="35" spans="1:13" x14ac:dyDescent="0.35">
      <c r="B35">
        <f t="shared" si="0"/>
        <v>0.82644628099173545</v>
      </c>
      <c r="C35">
        <v>2</v>
      </c>
    </row>
    <row r="36" spans="1:13" x14ac:dyDescent="0.35">
      <c r="B36">
        <f t="shared" si="0"/>
        <v>0.75131480090157754</v>
      </c>
      <c r="C36">
        <v>3</v>
      </c>
    </row>
    <row r="37" spans="1:13" x14ac:dyDescent="0.35">
      <c r="B37">
        <f t="shared" si="0"/>
        <v>0.68301345536507052</v>
      </c>
      <c r="C37">
        <v>4</v>
      </c>
    </row>
    <row r="38" spans="1:13" x14ac:dyDescent="0.35">
      <c r="B38">
        <f t="shared" si="0"/>
        <v>0.62092132305915493</v>
      </c>
      <c r="C38">
        <v>5</v>
      </c>
    </row>
    <row r="39" spans="1:13" x14ac:dyDescent="0.35">
      <c r="B39">
        <f t="shared" si="0"/>
        <v>0.56447393005377722</v>
      </c>
      <c r="C39">
        <v>6</v>
      </c>
    </row>
    <row r="40" spans="1:13" x14ac:dyDescent="0.35">
      <c r="F40" t="s">
        <v>68</v>
      </c>
    </row>
    <row r="41" spans="1:13" x14ac:dyDescent="0.35">
      <c r="A41" t="s">
        <v>69</v>
      </c>
      <c r="B41" t="s">
        <v>70</v>
      </c>
      <c r="C41">
        <v>10</v>
      </c>
      <c r="D41">
        <v>0.1</v>
      </c>
      <c r="E41" t="s">
        <v>45</v>
      </c>
      <c r="F41">
        <v>0.4</v>
      </c>
    </row>
    <row r="42" spans="1:13" x14ac:dyDescent="0.35">
      <c r="B42" t="s">
        <v>71</v>
      </c>
      <c r="C42">
        <v>-20</v>
      </c>
      <c r="D42">
        <v>-0.15</v>
      </c>
      <c r="E42" t="s">
        <v>45</v>
      </c>
      <c r="F42">
        <v>0.1</v>
      </c>
    </row>
    <row r="43" spans="1:13" x14ac:dyDescent="0.35">
      <c r="B43" t="s">
        <v>72</v>
      </c>
      <c r="C43">
        <v>30</v>
      </c>
      <c r="D43">
        <v>0.2</v>
      </c>
      <c r="E43" t="s">
        <v>45</v>
      </c>
      <c r="F43">
        <v>0.5</v>
      </c>
    </row>
    <row r="44" spans="1:13" x14ac:dyDescent="0.35">
      <c r="A44" t="s">
        <v>73</v>
      </c>
      <c r="B44" t="s">
        <v>74</v>
      </c>
      <c r="C44">
        <f>+F41*C41+ F42*C42+F43*C43</f>
        <v>17</v>
      </c>
      <c r="D44">
        <f>+F41*D41+ F42*D42+F43*D43</f>
        <v>0.125</v>
      </c>
      <c r="E44" t="s">
        <v>45</v>
      </c>
    </row>
    <row r="45" spans="1:13" x14ac:dyDescent="0.35">
      <c r="B45" t="s">
        <v>75</v>
      </c>
      <c r="C45">
        <v>87.5</v>
      </c>
      <c r="D45">
        <v>-0.8</v>
      </c>
      <c r="E45" t="s">
        <v>45</v>
      </c>
    </row>
    <row r="46" spans="1:13" x14ac:dyDescent="0.35">
      <c r="B46" t="s">
        <v>76</v>
      </c>
      <c r="C46">
        <f>+(  C44-C45)/(D45-D44)</f>
        <v>76.21621621621621</v>
      </c>
    </row>
    <row r="47" spans="1:13" x14ac:dyDescent="0.35">
      <c r="A47" t="s">
        <v>77</v>
      </c>
      <c r="B47">
        <v>0.1</v>
      </c>
    </row>
    <row r="48" spans="1:13" x14ac:dyDescent="0.35">
      <c r="A48" t="s">
        <v>78</v>
      </c>
      <c r="B48">
        <v>1</v>
      </c>
      <c r="C48">
        <v>2</v>
      </c>
      <c r="D48">
        <v>3</v>
      </c>
      <c r="E48">
        <v>4</v>
      </c>
      <c r="F48">
        <v>5</v>
      </c>
      <c r="G48">
        <v>6</v>
      </c>
      <c r="H48">
        <v>7</v>
      </c>
      <c r="I48">
        <v>8</v>
      </c>
      <c r="J48">
        <v>9</v>
      </c>
      <c r="K48">
        <v>10</v>
      </c>
      <c r="L48">
        <v>11</v>
      </c>
      <c r="M48">
        <v>12</v>
      </c>
    </row>
    <row r="49" spans="2:14" x14ac:dyDescent="0.35">
      <c r="B49">
        <f>1/(1+0.1/12)^B48</f>
        <v>0.99173553719008267</v>
      </c>
      <c r="C49">
        <f t="shared" ref="C49:M49" si="1">1/(1+0.1/12)^C48</f>
        <v>0.98353937572570183</v>
      </c>
      <c r="D49">
        <f t="shared" si="1"/>
        <v>0.97541095113292753</v>
      </c>
      <c r="E49">
        <f t="shared" si="1"/>
        <v>0.9673497036029034</v>
      </c>
      <c r="F49">
        <f t="shared" si="1"/>
        <v>0.95935507795329267</v>
      </c>
      <c r="G49">
        <f t="shared" si="1"/>
        <v>0.95142652359004232</v>
      </c>
      <c r="H49">
        <f t="shared" si="1"/>
        <v>0.94356349446946353</v>
      </c>
      <c r="I49">
        <f t="shared" si="1"/>
        <v>0.93576544906062498</v>
      </c>
      <c r="J49">
        <f t="shared" si="1"/>
        <v>0.9280318503080579</v>
      </c>
      <c r="K49">
        <f t="shared" si="1"/>
        <v>0.92036216559476813</v>
      </c>
      <c r="L49">
        <f t="shared" si="1"/>
        <v>0.91275586670555531</v>
      </c>
      <c r="M49">
        <f t="shared" si="1"/>
        <v>0.90521242979063321</v>
      </c>
      <c r="N49">
        <f>+SUM(B49:M49)</f>
        <v>11.374508425124056</v>
      </c>
    </row>
  </sheetData>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6"/>
  <sheetViews>
    <sheetView workbookViewId="0">
      <selection sqref="A1:D6"/>
    </sheetView>
  </sheetViews>
  <sheetFormatPr defaultRowHeight="15.5" x14ac:dyDescent="0.35"/>
  <cols>
    <col min="1" max="1" width="32" customWidth="1"/>
    <col min="2" max="2" width="12.4140625" customWidth="1"/>
    <col min="3" max="3" width="17.9140625" customWidth="1"/>
    <col min="4" max="4" width="18" customWidth="1"/>
  </cols>
  <sheetData>
    <row r="1" spans="1:4" ht="91.5" x14ac:dyDescent="0.65">
      <c r="A1" s="33"/>
      <c r="B1" s="33"/>
      <c r="C1" s="34" t="s">
        <v>362</v>
      </c>
      <c r="D1" s="34" t="s">
        <v>363</v>
      </c>
    </row>
    <row r="2" spans="1:4" ht="30.5" x14ac:dyDescent="0.65">
      <c r="A2" s="33" t="s">
        <v>351</v>
      </c>
      <c r="B2" s="33" t="s">
        <v>352</v>
      </c>
      <c r="C2" s="33">
        <v>1</v>
      </c>
      <c r="D2" s="35" t="s">
        <v>353</v>
      </c>
    </row>
    <row r="3" spans="1:4" ht="30.5" x14ac:dyDescent="0.65">
      <c r="A3" s="33" t="s">
        <v>354</v>
      </c>
      <c r="B3" s="33" t="s">
        <v>355</v>
      </c>
      <c r="C3" s="33">
        <v>21</v>
      </c>
      <c r="D3" s="33">
        <v>12</v>
      </c>
    </row>
    <row r="4" spans="1:4" ht="30.5" x14ac:dyDescent="0.65">
      <c r="A4" s="33" t="s">
        <v>356</v>
      </c>
      <c r="B4" s="33" t="s">
        <v>357</v>
      </c>
      <c r="C4" s="33">
        <v>310</v>
      </c>
      <c r="D4" s="33">
        <v>114</v>
      </c>
    </row>
    <row r="5" spans="1:4" ht="30.5" x14ac:dyDescent="0.65">
      <c r="A5" s="33" t="s">
        <v>358</v>
      </c>
      <c r="B5" s="33" t="s">
        <v>359</v>
      </c>
      <c r="C5" s="33">
        <v>3200</v>
      </c>
      <c r="D5" s="33">
        <v>3200</v>
      </c>
    </row>
    <row r="6" spans="1:4" ht="30.5" x14ac:dyDescent="0.65">
      <c r="A6" s="33" t="s">
        <v>364</v>
      </c>
      <c r="B6" s="33" t="s">
        <v>360</v>
      </c>
      <c r="C6" s="33">
        <v>6500</v>
      </c>
      <c r="D6" s="36" t="s">
        <v>361</v>
      </c>
    </row>
  </sheetData>
  <phoneticPr fontId="18"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86"/>
  <sheetViews>
    <sheetView zoomScaleNormal="100" workbookViewId="0">
      <selection activeCell="L1" sqref="L1"/>
    </sheetView>
  </sheetViews>
  <sheetFormatPr defaultColWidth="8" defaultRowHeight="15.5" x14ac:dyDescent="0.35"/>
  <cols>
    <col min="1" max="1" width="13.9140625" style="45" customWidth="1"/>
    <col min="2" max="2" width="9.6640625" style="51" customWidth="1"/>
    <col min="3" max="3" width="8.4140625" style="45" customWidth="1"/>
    <col min="4" max="4" width="4.58203125" style="45" customWidth="1"/>
    <col min="5" max="5" width="9.08203125" style="45" customWidth="1"/>
    <col min="6" max="6" width="8.4140625" style="45" customWidth="1"/>
    <col min="7" max="7" width="4.6640625" style="45" customWidth="1"/>
    <col min="8" max="8" width="8.5" style="45" customWidth="1"/>
    <col min="9" max="9" width="7.6640625" style="45" customWidth="1"/>
    <col min="10" max="10" width="10.08203125" style="45" customWidth="1"/>
    <col min="11" max="16384" width="8" style="45"/>
  </cols>
  <sheetData>
    <row r="1" spans="1:10" s="39" customFormat="1" ht="104.25" customHeight="1" x14ac:dyDescent="0.35">
      <c r="A1" s="37" t="s">
        <v>109</v>
      </c>
      <c r="B1" s="37" t="s">
        <v>365</v>
      </c>
      <c r="C1" s="38" t="s">
        <v>366</v>
      </c>
      <c r="D1" s="37" t="s">
        <v>367</v>
      </c>
      <c r="E1" s="38" t="s">
        <v>368</v>
      </c>
      <c r="F1" s="38" t="s">
        <v>369</v>
      </c>
      <c r="G1" s="37" t="s">
        <v>367</v>
      </c>
      <c r="H1" s="38" t="s">
        <v>370</v>
      </c>
      <c r="I1" s="37" t="s">
        <v>371</v>
      </c>
      <c r="J1" s="38" t="s">
        <v>372</v>
      </c>
    </row>
    <row r="2" spans="1:10" x14ac:dyDescent="0.35">
      <c r="A2" s="40" t="s">
        <v>112</v>
      </c>
      <c r="B2" s="41">
        <v>314772.09999999998</v>
      </c>
      <c r="C2" s="42">
        <v>0.29541067741476179</v>
      </c>
      <c r="D2" s="40">
        <v>1</v>
      </c>
      <c r="E2" s="40">
        <v>5752289</v>
      </c>
      <c r="F2" s="42">
        <v>0.20199999999999999</v>
      </c>
      <c r="G2" s="40">
        <v>2</v>
      </c>
      <c r="H2" s="37">
        <v>19</v>
      </c>
      <c r="I2" s="43">
        <v>47440</v>
      </c>
      <c r="J2" s="44">
        <v>-9.3410677414761806E-2</v>
      </c>
    </row>
    <row r="3" spans="1:10" x14ac:dyDescent="0.35">
      <c r="A3" s="40" t="s">
        <v>190</v>
      </c>
      <c r="B3" s="41">
        <v>89688.3</v>
      </c>
      <c r="C3" s="42">
        <v>8.417163229898196E-2</v>
      </c>
      <c r="D3" s="40">
        <v>2</v>
      </c>
      <c r="E3" s="40">
        <v>1564669</v>
      </c>
      <c r="F3" s="42">
        <v>5.5E-2</v>
      </c>
      <c r="G3" s="40">
        <v>3</v>
      </c>
      <c r="H3" s="37">
        <v>10.9</v>
      </c>
      <c r="I3" s="43">
        <v>15948</v>
      </c>
      <c r="J3" s="44">
        <v>-2.917163229898196E-2</v>
      </c>
    </row>
    <row r="4" spans="1:10" x14ac:dyDescent="0.35">
      <c r="A4" s="40" t="s">
        <v>137</v>
      </c>
      <c r="B4" s="41">
        <v>89243</v>
      </c>
      <c r="C4" s="42">
        <v>8.3753722405910766E-2</v>
      </c>
      <c r="D4" s="40">
        <v>3</v>
      </c>
      <c r="E4" s="40">
        <v>6103493</v>
      </c>
      <c r="F4" s="42">
        <v>0.215</v>
      </c>
      <c r="G4" s="40">
        <v>1</v>
      </c>
      <c r="H4" s="37">
        <v>4.5999999999999996</v>
      </c>
      <c r="I4" s="43">
        <v>5970</v>
      </c>
      <c r="J4" s="46">
        <v>0.13124627759408924</v>
      </c>
    </row>
    <row r="5" spans="1:10" x14ac:dyDescent="0.35">
      <c r="A5" s="40" t="s">
        <v>119</v>
      </c>
      <c r="B5" s="41">
        <v>73625.8</v>
      </c>
      <c r="C5" s="42">
        <v>6.9097125994342479E-2</v>
      </c>
      <c r="D5" s="40">
        <v>4</v>
      </c>
      <c r="E5" s="40">
        <v>805090</v>
      </c>
      <c r="F5" s="42">
        <v>2.7999999999999997E-2</v>
      </c>
      <c r="G5" s="40">
        <v>6</v>
      </c>
      <c r="H5" s="37">
        <v>9.6999999999999993</v>
      </c>
      <c r="I5" s="43">
        <v>35539</v>
      </c>
      <c r="J5" s="44">
        <v>-4.1097125994342482E-2</v>
      </c>
    </row>
    <row r="6" spans="1:10" x14ac:dyDescent="0.35">
      <c r="A6" s="40" t="s">
        <v>126</v>
      </c>
      <c r="B6" s="41">
        <v>55163.7</v>
      </c>
      <c r="C6" s="42">
        <v>5.1770617490256264E-2</v>
      </c>
      <c r="D6" s="40">
        <v>5</v>
      </c>
      <c r="E6" s="40">
        <v>568520</v>
      </c>
      <c r="F6" s="42">
        <v>0.02</v>
      </c>
      <c r="G6" s="40">
        <v>7</v>
      </c>
      <c r="H6" s="37">
        <v>9.4</v>
      </c>
      <c r="I6" s="43">
        <v>36358</v>
      </c>
      <c r="J6" s="44">
        <v>-3.1770617490256267E-2</v>
      </c>
    </row>
    <row r="7" spans="1:10" x14ac:dyDescent="0.35">
      <c r="A7" s="40" t="s">
        <v>140</v>
      </c>
      <c r="B7" s="41">
        <v>42696.2</v>
      </c>
      <c r="C7" s="42">
        <v>4.0069985125861379E-2</v>
      </c>
      <c r="D7" s="40">
        <v>6</v>
      </c>
      <c r="E7" s="40">
        <v>1293409</v>
      </c>
      <c r="F7" s="42">
        <v>4.5999999999999999E-2</v>
      </c>
      <c r="G7" s="40">
        <v>5</v>
      </c>
      <c r="H7" s="37">
        <v>10.1</v>
      </c>
      <c r="I7" s="43">
        <v>34116</v>
      </c>
      <c r="J7" s="46">
        <v>5.9300148741386199E-3</v>
      </c>
    </row>
    <row r="8" spans="1:10" x14ac:dyDescent="0.35">
      <c r="A8" s="40" t="s">
        <v>118</v>
      </c>
      <c r="B8" s="41">
        <v>28515.3</v>
      </c>
      <c r="C8" s="42">
        <v>2.6761342856260629E-2</v>
      </c>
      <c r="D8" s="40">
        <v>7</v>
      </c>
      <c r="E8" s="40">
        <v>383148</v>
      </c>
      <c r="F8" s="42">
        <v>1.3999999999999999E-2</v>
      </c>
      <c r="G8" s="40">
        <v>14</v>
      </c>
      <c r="H8" s="37">
        <v>6.2</v>
      </c>
      <c r="I8" s="43">
        <v>34205</v>
      </c>
      <c r="J8" s="44">
        <v>-1.276134285626063E-2</v>
      </c>
    </row>
    <row r="9" spans="1:10" x14ac:dyDescent="0.35">
      <c r="A9" s="40" t="s">
        <v>138</v>
      </c>
      <c r="B9" s="41">
        <v>25054.3</v>
      </c>
      <c r="C9" s="42">
        <v>2.3513226665109983E-2</v>
      </c>
      <c r="D9" s="40">
        <v>8</v>
      </c>
      <c r="E9" s="40">
        <v>1510351</v>
      </c>
      <c r="F9" s="42">
        <v>5.2999999999999999E-2</v>
      </c>
      <c r="G9" s="40">
        <v>4</v>
      </c>
      <c r="H9" s="37">
        <v>1.3</v>
      </c>
      <c r="I9" s="43">
        <v>2780</v>
      </c>
      <c r="J9" s="46">
        <v>2.9486773334890016E-2</v>
      </c>
    </row>
    <row r="10" spans="1:10" x14ac:dyDescent="0.35">
      <c r="A10" s="40" t="s">
        <v>110</v>
      </c>
      <c r="B10" s="41">
        <v>23668.6</v>
      </c>
      <c r="C10" s="42">
        <v>2.2212760150785379E-2</v>
      </c>
      <c r="D10" s="40">
        <v>9</v>
      </c>
      <c r="E10" s="40">
        <v>544680</v>
      </c>
      <c r="F10" s="42">
        <v>1.9E-2</v>
      </c>
      <c r="G10" s="40">
        <v>8</v>
      </c>
      <c r="H10" s="37">
        <v>16.7</v>
      </c>
      <c r="I10" s="43">
        <v>39098</v>
      </c>
      <c r="J10" s="44">
        <v>-3.2127601507853792E-3</v>
      </c>
    </row>
    <row r="11" spans="1:10" x14ac:dyDescent="0.35">
      <c r="A11" s="40" t="s">
        <v>191</v>
      </c>
      <c r="B11" s="41">
        <v>22840.5</v>
      </c>
      <c r="C11" s="42">
        <v>2.1435596031198021E-2</v>
      </c>
      <c r="D11" s="40">
        <v>10</v>
      </c>
      <c r="E11" s="40">
        <v>319158</v>
      </c>
      <c r="F11" s="42">
        <v>1.1000000000000001E-2</v>
      </c>
      <c r="G11" s="40">
        <v>20</v>
      </c>
      <c r="H11" s="37">
        <v>6.9</v>
      </c>
      <c r="I11" s="43">
        <v>7342</v>
      </c>
      <c r="J11" s="44">
        <v>-1.043559603119802E-2</v>
      </c>
    </row>
    <row r="12" spans="1:10" x14ac:dyDescent="0.35">
      <c r="A12" s="40" t="s">
        <v>188</v>
      </c>
      <c r="B12" s="41">
        <v>21262.9</v>
      </c>
      <c r="C12" s="42">
        <v>1.9955033158282894E-2</v>
      </c>
      <c r="D12" s="40">
        <v>11</v>
      </c>
      <c r="E12" s="40">
        <v>318219</v>
      </c>
      <c r="F12" s="42">
        <v>1.1000000000000001E-2</v>
      </c>
      <c r="G12" s="40">
        <v>21</v>
      </c>
      <c r="H12" s="37">
        <v>8.3000000000000007</v>
      </c>
      <c r="I12" s="43">
        <v>17537</v>
      </c>
      <c r="J12" s="44">
        <v>-8.9550331582828931E-3</v>
      </c>
    </row>
    <row r="13" spans="1:10" x14ac:dyDescent="0.35">
      <c r="A13" s="40" t="s">
        <v>122</v>
      </c>
      <c r="B13" s="41">
        <v>17641.900000000001</v>
      </c>
      <c r="C13" s="42">
        <v>1.6556758460751404E-2</v>
      </c>
      <c r="D13" s="40">
        <v>12</v>
      </c>
      <c r="E13" s="40">
        <v>474148</v>
      </c>
      <c r="F13" s="42">
        <v>1.7000000000000001E-2</v>
      </c>
      <c r="G13" s="40">
        <v>10</v>
      </c>
      <c r="H13" s="37">
        <v>8.1</v>
      </c>
      <c r="I13" s="43">
        <v>30631</v>
      </c>
      <c r="J13" s="46">
        <v>4.4324153924859763E-4</v>
      </c>
    </row>
    <row r="14" spans="1:10" x14ac:dyDescent="0.35">
      <c r="A14" s="40" t="s">
        <v>134</v>
      </c>
      <c r="B14" s="41">
        <v>13241.7</v>
      </c>
      <c r="C14" s="42">
        <v>1.2427211837145196E-2</v>
      </c>
      <c r="D14" s="40">
        <v>13</v>
      </c>
      <c r="E14" s="40">
        <v>414649</v>
      </c>
      <c r="F14" s="42">
        <v>1.4999999999999999E-2</v>
      </c>
      <c r="G14" s="40">
        <v>13</v>
      </c>
      <c r="H14" s="37">
        <v>8.6</v>
      </c>
      <c r="I14" s="43">
        <v>10136</v>
      </c>
      <c r="J14" s="46">
        <v>2.5727881628548038E-3</v>
      </c>
    </row>
    <row r="15" spans="1:10" x14ac:dyDescent="0.35">
      <c r="A15" s="40" t="s">
        <v>136</v>
      </c>
      <c r="B15" s="41">
        <v>11929.4</v>
      </c>
      <c r="C15" s="42">
        <v>1.1195630537622804E-2</v>
      </c>
      <c r="D15" s="40">
        <v>14</v>
      </c>
      <c r="E15" s="40">
        <v>372013</v>
      </c>
      <c r="F15" s="42">
        <v>1.3000000000000001E-2</v>
      </c>
      <c r="G15" s="40">
        <v>16</v>
      </c>
      <c r="H15" s="37">
        <v>18.100000000000001</v>
      </c>
      <c r="I15" s="43">
        <v>36918</v>
      </c>
      <c r="J15" s="46">
        <v>1.8043694623771974E-3</v>
      </c>
    </row>
    <row r="16" spans="1:10" x14ac:dyDescent="0.35">
      <c r="A16" s="40" t="s">
        <v>111</v>
      </c>
      <c r="B16" s="41">
        <v>11458.3</v>
      </c>
      <c r="C16" s="42">
        <v>1.0753507585397705E-2</v>
      </c>
      <c r="D16" s="40">
        <v>15</v>
      </c>
      <c r="E16" s="40">
        <v>436150</v>
      </c>
      <c r="F16" s="42">
        <v>1.6E-2</v>
      </c>
      <c r="G16" s="40">
        <v>12</v>
      </c>
      <c r="H16" s="37">
        <v>4.0999999999999996</v>
      </c>
      <c r="I16" s="43">
        <v>14534</v>
      </c>
      <c r="J16" s="46">
        <v>5.2464924146022954E-3</v>
      </c>
    </row>
    <row r="17" spans="1:10" x14ac:dyDescent="0.35">
      <c r="A17" s="40" t="s">
        <v>127</v>
      </c>
      <c r="B17" s="41">
        <v>9970.2999999999993</v>
      </c>
      <c r="C17" s="42">
        <v>9.3570334760558482E-3</v>
      </c>
      <c r="D17" s="40">
        <v>16</v>
      </c>
      <c r="E17" s="40">
        <v>193508</v>
      </c>
      <c r="F17" s="42">
        <v>6.9999999999999993E-3</v>
      </c>
      <c r="G17" s="40">
        <v>25</v>
      </c>
      <c r="H17" s="37">
        <v>12.6</v>
      </c>
      <c r="I17" s="43">
        <v>11434</v>
      </c>
      <c r="J17" s="44">
        <v>-2.357033476055849E-3</v>
      </c>
    </row>
    <row r="18" spans="1:10" x14ac:dyDescent="0.35">
      <c r="A18" s="40" t="s">
        <v>124</v>
      </c>
      <c r="B18" s="41">
        <v>9946.4</v>
      </c>
      <c r="C18" s="42">
        <v>9.3346035491652102E-3</v>
      </c>
      <c r="D18" s="40">
        <v>17</v>
      </c>
      <c r="E18" s="40">
        <v>352235</v>
      </c>
      <c r="F18" s="42">
        <v>1.2E-2</v>
      </c>
      <c r="G18" s="40">
        <v>18</v>
      </c>
      <c r="H18" s="37">
        <v>8</v>
      </c>
      <c r="I18" s="43">
        <v>30589</v>
      </c>
      <c r="J18" s="46">
        <v>2.6653964508347901E-3</v>
      </c>
    </row>
    <row r="19" spans="1:10" x14ac:dyDescent="0.35">
      <c r="A19" s="40" t="s">
        <v>186</v>
      </c>
      <c r="B19" s="41">
        <v>9399.6</v>
      </c>
      <c r="C19" s="42">
        <v>8.8214368536086735E-3</v>
      </c>
      <c r="D19" s="40">
        <v>18</v>
      </c>
      <c r="E19" s="40">
        <v>116991</v>
      </c>
      <c r="F19" s="42">
        <v>4.0000000000000001E-3</v>
      </c>
      <c r="G19" s="40">
        <v>34</v>
      </c>
      <c r="H19" s="37">
        <v>11.3</v>
      </c>
      <c r="I19" s="43">
        <v>25118</v>
      </c>
      <c r="J19" s="44">
        <v>-4.8214368536086735E-3</v>
      </c>
    </row>
    <row r="20" spans="1:10" x14ac:dyDescent="0.35">
      <c r="A20" s="40" t="s">
        <v>117</v>
      </c>
      <c r="B20" s="41">
        <v>9336.2999999999993</v>
      </c>
      <c r="C20" s="42">
        <v>8.7620303945217509E-3</v>
      </c>
      <c r="D20" s="40">
        <v>19</v>
      </c>
      <c r="E20" s="40">
        <v>107199</v>
      </c>
      <c r="F20" s="42">
        <v>4.0000000000000001E-3</v>
      </c>
      <c r="G20" s="40">
        <v>36</v>
      </c>
      <c r="H20" s="37">
        <v>10.3</v>
      </c>
      <c r="I20" s="43">
        <v>36416</v>
      </c>
      <c r="J20" s="44">
        <v>-4.7620303945217508E-3</v>
      </c>
    </row>
    <row r="21" spans="1:10" x14ac:dyDescent="0.35">
      <c r="A21" s="40" t="s">
        <v>115</v>
      </c>
      <c r="B21" s="41">
        <v>9136.2999999999993</v>
      </c>
      <c r="C21" s="42">
        <v>8.5743322615456953E-3</v>
      </c>
      <c r="D21" s="40">
        <v>20</v>
      </c>
      <c r="E21" s="40">
        <v>352524</v>
      </c>
      <c r="F21" s="42">
        <v>1.2E-2</v>
      </c>
      <c r="G21" s="40">
        <v>17</v>
      </c>
      <c r="H21" s="37">
        <v>1.9</v>
      </c>
      <c r="I21" s="43">
        <v>10466</v>
      </c>
      <c r="J21" s="46">
        <v>3.4256677384543049E-3</v>
      </c>
    </row>
    <row r="22" spans="1:10" x14ac:dyDescent="0.35">
      <c r="A22" s="40" t="s">
        <v>373</v>
      </c>
      <c r="B22" s="41">
        <v>9004.4</v>
      </c>
      <c r="C22" s="42">
        <v>8.4505453428479864E-3</v>
      </c>
      <c r="D22" s="40">
        <v>21</v>
      </c>
      <c r="E22" s="40">
        <v>475248</v>
      </c>
      <c r="F22" s="42">
        <v>1.7000000000000001E-2</v>
      </c>
      <c r="G22" s="40">
        <v>9</v>
      </c>
      <c r="H22" s="37">
        <v>9.9</v>
      </c>
      <c r="I22" s="43">
        <v>27692</v>
      </c>
      <c r="J22" s="46">
        <v>8.5494546571520148E-3</v>
      </c>
    </row>
    <row r="23" spans="1:10" x14ac:dyDescent="0.35">
      <c r="A23" s="40" t="s">
        <v>123</v>
      </c>
      <c r="B23" s="41">
        <v>8569.4</v>
      </c>
      <c r="C23" s="42">
        <v>8.0423019036250654E-3</v>
      </c>
      <c r="D23" s="40">
        <v>22</v>
      </c>
      <c r="E23" s="40">
        <v>168513</v>
      </c>
      <c r="F23" s="42">
        <v>6.0000000000000001E-3</v>
      </c>
      <c r="G23" s="40">
        <v>29</v>
      </c>
      <c r="H23" s="37">
        <v>10.3</v>
      </c>
      <c r="I23" s="43">
        <v>40558</v>
      </c>
      <c r="J23" s="44">
        <v>-2.0423019036250652E-3</v>
      </c>
    </row>
    <row r="24" spans="1:10" x14ac:dyDescent="0.35">
      <c r="A24" s="40" t="s">
        <v>128</v>
      </c>
      <c r="B24" s="41">
        <v>7589.7</v>
      </c>
      <c r="C24" s="42">
        <v>7.1228625992418564E-3</v>
      </c>
      <c r="D24" s="40">
        <v>23</v>
      </c>
      <c r="E24" s="40">
        <v>466976</v>
      </c>
      <c r="F24" s="42">
        <v>1.6E-2</v>
      </c>
      <c r="G24" s="40">
        <v>11</v>
      </c>
      <c r="H24" s="37">
        <v>6.6</v>
      </c>
      <c r="I24" s="43">
        <v>11052</v>
      </c>
      <c r="J24" s="46">
        <v>8.8771374007581439E-3</v>
      </c>
    </row>
    <row r="25" spans="1:10" x14ac:dyDescent="0.35">
      <c r="A25" s="40" t="s">
        <v>189</v>
      </c>
      <c r="B25" s="41">
        <v>6759.2</v>
      </c>
      <c r="C25" s="42">
        <v>6.3434461020587841E-3</v>
      </c>
      <c r="D25" s="40">
        <v>24</v>
      </c>
      <c r="E25" s="40">
        <v>98490</v>
      </c>
      <c r="F25" s="42">
        <v>4.0000000000000001E-3</v>
      </c>
      <c r="G25" s="40">
        <v>38</v>
      </c>
      <c r="H25" s="37">
        <v>4.5999999999999996</v>
      </c>
      <c r="I25" s="43">
        <v>12600</v>
      </c>
      <c r="J25" s="44">
        <v>-2.3434461020587841E-3</v>
      </c>
    </row>
    <row r="26" spans="1:10" x14ac:dyDescent="0.35">
      <c r="A26" s="40" t="s">
        <v>129</v>
      </c>
      <c r="B26" s="41">
        <v>6221.8</v>
      </c>
      <c r="C26" s="42">
        <v>5.8391012187521225E-3</v>
      </c>
      <c r="D26" s="40">
        <v>25</v>
      </c>
      <c r="E26" s="40">
        <v>381564</v>
      </c>
      <c r="F26" s="42">
        <v>1.3000000000000001E-2</v>
      </c>
      <c r="G26" s="40">
        <v>15</v>
      </c>
      <c r="H26" s="37">
        <v>15.8</v>
      </c>
      <c r="I26" s="43">
        <v>23814</v>
      </c>
      <c r="J26" s="46">
        <v>7.1608987812478786E-3</v>
      </c>
    </row>
    <row r="27" spans="1:10" x14ac:dyDescent="0.35">
      <c r="A27" s="40" t="s">
        <v>139</v>
      </c>
      <c r="B27" s="41">
        <v>6167.9</v>
      </c>
      <c r="C27" s="42">
        <v>5.7885165719150748E-3</v>
      </c>
      <c r="D27" s="40">
        <v>26</v>
      </c>
      <c r="E27" s="40">
        <v>333483</v>
      </c>
      <c r="F27" s="42">
        <v>1.2E-2</v>
      </c>
      <c r="G27" s="40">
        <v>19</v>
      </c>
      <c r="H27" s="37">
        <v>1.5</v>
      </c>
      <c r="I27" s="43">
        <v>3980</v>
      </c>
      <c r="J27" s="46">
        <v>6.2114834280849254E-3</v>
      </c>
    </row>
    <row r="28" spans="1:10" x14ac:dyDescent="0.35">
      <c r="A28" s="40" t="s">
        <v>192</v>
      </c>
      <c r="B28" s="41">
        <v>5979.5</v>
      </c>
      <c r="C28" s="42">
        <v>5.6117049306516308E-3</v>
      </c>
      <c r="D28" s="40">
        <v>27</v>
      </c>
      <c r="E28" s="40">
        <v>115672</v>
      </c>
      <c r="F28" s="42">
        <v>4.0000000000000001E-3</v>
      </c>
      <c r="G28" s="40">
        <v>35</v>
      </c>
      <c r="H28" s="37">
        <v>4.3</v>
      </c>
      <c r="I28" s="43">
        <v>2634</v>
      </c>
      <c r="J28" s="44">
        <v>-1.6117049306516307E-3</v>
      </c>
    </row>
    <row r="29" spans="1:10" x14ac:dyDescent="0.35">
      <c r="A29" s="40" t="s">
        <v>114</v>
      </c>
      <c r="B29" s="41">
        <v>5505.7</v>
      </c>
      <c r="C29" s="42">
        <v>5.1670480536313542E-3</v>
      </c>
      <c r="D29" s="40">
        <v>28</v>
      </c>
      <c r="E29" s="40">
        <v>173536</v>
      </c>
      <c r="F29" s="42">
        <v>6.0000000000000001E-3</v>
      </c>
      <c r="G29" s="40">
        <v>27</v>
      </c>
      <c r="H29" s="37">
        <v>4.4000000000000004</v>
      </c>
      <c r="I29" s="43">
        <v>14408</v>
      </c>
      <c r="J29" s="46">
        <v>8.3295194636864595E-4</v>
      </c>
    </row>
    <row r="30" spans="1:10" x14ac:dyDescent="0.35">
      <c r="A30" s="40" t="s">
        <v>125</v>
      </c>
      <c r="B30" s="41">
        <v>5112.8</v>
      </c>
      <c r="C30" s="42">
        <v>4.7983150713998921E-3</v>
      </c>
      <c r="D30" s="40">
        <v>29</v>
      </c>
      <c r="E30" s="40">
        <v>269452</v>
      </c>
      <c r="F30" s="42">
        <v>0.01</v>
      </c>
      <c r="G30" s="40">
        <v>24</v>
      </c>
      <c r="H30" s="37">
        <v>3.6</v>
      </c>
      <c r="I30" s="43">
        <v>13139</v>
      </c>
      <c r="J30" s="46">
        <v>5.2016849286001081E-3</v>
      </c>
    </row>
    <row r="31" spans="1:10" x14ac:dyDescent="0.35">
      <c r="A31" s="40" t="s">
        <v>116</v>
      </c>
      <c r="B31" s="41">
        <v>5004.3999999999996</v>
      </c>
      <c r="C31" s="42">
        <v>4.6965826833268694E-3</v>
      </c>
      <c r="D31" s="40">
        <v>30</v>
      </c>
      <c r="E31" s="40">
        <v>171593</v>
      </c>
      <c r="F31" s="42">
        <v>6.0000000000000001E-3</v>
      </c>
      <c r="G31" s="40">
        <v>28</v>
      </c>
      <c r="H31" s="37">
        <v>6.3</v>
      </c>
      <c r="I31" s="43">
        <v>12806</v>
      </c>
      <c r="J31" s="46">
        <v>1.3034173166731307E-3</v>
      </c>
    </row>
    <row r="32" spans="1:10" x14ac:dyDescent="0.35">
      <c r="A32" s="40" t="s">
        <v>143</v>
      </c>
      <c r="B32" s="41">
        <v>4736.6000000000004</v>
      </c>
      <c r="C32" s="42">
        <v>4.4452548832719313E-3</v>
      </c>
      <c r="D32" s="40">
        <v>31</v>
      </c>
      <c r="E32" s="40">
        <v>300380</v>
      </c>
      <c r="F32" s="42">
        <v>0.01</v>
      </c>
      <c r="G32" s="40">
        <v>22</v>
      </c>
      <c r="H32" s="37"/>
      <c r="I32" s="43">
        <v>30912</v>
      </c>
      <c r="J32" s="46">
        <v>5.5547451167280689E-3</v>
      </c>
    </row>
    <row r="33" spans="1:10" x14ac:dyDescent="0.35">
      <c r="A33" s="40" t="s">
        <v>145</v>
      </c>
      <c r="B33" s="41">
        <v>4107.6000000000004</v>
      </c>
      <c r="C33" s="42">
        <v>3.854944255062236E-3</v>
      </c>
      <c r="D33" s="40">
        <v>32</v>
      </c>
      <c r="E33" s="40">
        <v>50875</v>
      </c>
      <c r="F33" s="42">
        <v>2E-3</v>
      </c>
      <c r="G33" s="40">
        <v>58</v>
      </c>
      <c r="H33" s="37">
        <v>5.6</v>
      </c>
      <c r="I33" s="43">
        <v>37334</v>
      </c>
      <c r="J33" s="44">
        <v>-1.854944255062236E-3</v>
      </c>
    </row>
    <row r="34" spans="1:10" x14ac:dyDescent="0.35">
      <c r="A34" s="40" t="s">
        <v>212</v>
      </c>
      <c r="B34" s="41">
        <v>4031.9</v>
      </c>
      <c r="C34" s="42">
        <v>3.7839005117307986E-3</v>
      </c>
      <c r="D34" s="40">
        <v>33</v>
      </c>
      <c r="E34" s="40">
        <v>68849</v>
      </c>
      <c r="F34" s="42">
        <v>2E-3</v>
      </c>
      <c r="G34" s="40">
        <v>46</v>
      </c>
      <c r="H34" s="37">
        <v>7.1</v>
      </c>
      <c r="I34" s="43">
        <v>12313</v>
      </c>
      <c r="J34" s="44">
        <v>-1.7839005117307985E-3</v>
      </c>
    </row>
    <row r="35" spans="1:10" x14ac:dyDescent="0.35">
      <c r="A35" s="40" t="s">
        <v>206</v>
      </c>
      <c r="B35" s="41">
        <v>3928.9</v>
      </c>
      <c r="C35" s="42">
        <v>3.6872359732481297E-3</v>
      </c>
      <c r="D35" s="40">
        <v>34</v>
      </c>
      <c r="E35" s="40">
        <v>71834</v>
      </c>
      <c r="F35" s="42">
        <v>3.0000000000000001E-3</v>
      </c>
      <c r="G35" s="40">
        <v>44</v>
      </c>
      <c r="H35" s="37">
        <v>8.6</v>
      </c>
      <c r="I35" s="43">
        <v>39887</v>
      </c>
      <c r="J35" s="44">
        <v>-6.8723597324812967E-4</v>
      </c>
    </row>
    <row r="36" spans="1:10" x14ac:dyDescent="0.35">
      <c r="A36" s="40" t="s">
        <v>374</v>
      </c>
      <c r="B36" s="41">
        <v>3889.2</v>
      </c>
      <c r="C36" s="42">
        <v>3.6499778938523823E-3</v>
      </c>
      <c r="D36" s="40">
        <v>35</v>
      </c>
      <c r="E36" s="40">
        <v>79111</v>
      </c>
      <c r="F36" s="42">
        <v>3.0000000000000001E-3</v>
      </c>
      <c r="G36" s="40">
        <v>43</v>
      </c>
      <c r="H36" s="37">
        <v>3.6</v>
      </c>
      <c r="I36" s="43" t="s">
        <v>375</v>
      </c>
      <c r="J36" s="44">
        <v>-6.4997789385238224E-4</v>
      </c>
    </row>
    <row r="37" spans="1:10" x14ac:dyDescent="0.35">
      <c r="A37" s="40" t="s">
        <v>187</v>
      </c>
      <c r="B37" s="41">
        <v>3856.6</v>
      </c>
      <c r="C37" s="42">
        <v>3.6193830981772852E-3</v>
      </c>
      <c r="D37" s="40">
        <v>36</v>
      </c>
      <c r="E37" s="40">
        <v>57644</v>
      </c>
      <c r="F37" s="42">
        <v>2E-3</v>
      </c>
      <c r="G37" s="40">
        <v>53</v>
      </c>
      <c r="H37" s="37">
        <v>5.7</v>
      </c>
      <c r="I37" s="43">
        <v>19553</v>
      </c>
      <c r="J37" s="44">
        <v>-1.6193830981772852E-3</v>
      </c>
    </row>
    <row r="38" spans="1:10" x14ac:dyDescent="0.35">
      <c r="A38" s="40" t="s">
        <v>237</v>
      </c>
      <c r="B38" s="41">
        <v>3355.7</v>
      </c>
      <c r="C38" s="42">
        <v>3.1492931241387532E-3</v>
      </c>
      <c r="D38" s="40">
        <v>37</v>
      </c>
      <c r="E38" s="40">
        <v>53944</v>
      </c>
      <c r="F38" s="42">
        <v>2E-3</v>
      </c>
      <c r="G38" s="40">
        <v>56</v>
      </c>
      <c r="H38" s="37">
        <v>9.9</v>
      </c>
      <c r="I38" s="43">
        <v>37304</v>
      </c>
      <c r="J38" s="44">
        <v>-1.1492931241387531E-3</v>
      </c>
    </row>
    <row r="39" spans="1:10" x14ac:dyDescent="0.35">
      <c r="A39" s="40" t="s">
        <v>144</v>
      </c>
      <c r="B39" s="41">
        <v>3287</v>
      </c>
      <c r="C39" s="42">
        <v>3.0848188154614783E-3</v>
      </c>
      <c r="D39" s="40">
        <v>38</v>
      </c>
      <c r="E39" s="40">
        <v>272521</v>
      </c>
      <c r="F39" s="42">
        <v>0.01</v>
      </c>
      <c r="G39" s="40">
        <v>23</v>
      </c>
      <c r="H39" s="37">
        <v>4.3</v>
      </c>
      <c r="I39" s="43">
        <v>8239</v>
      </c>
      <c r="J39" s="46">
        <v>6.9151811845385219E-3</v>
      </c>
    </row>
    <row r="40" spans="1:10" x14ac:dyDescent="0.35">
      <c r="A40" s="40" t="s">
        <v>376</v>
      </c>
      <c r="B40" s="41">
        <v>3157.1</v>
      </c>
      <c r="C40" s="42">
        <v>2.96290887809353E-3</v>
      </c>
      <c r="D40" s="40">
        <v>39</v>
      </c>
      <c r="E40" s="40">
        <v>37459</v>
      </c>
      <c r="F40" s="42">
        <v>1E-3</v>
      </c>
      <c r="G40" s="40">
        <v>70</v>
      </c>
      <c r="H40" s="37">
        <v>7</v>
      </c>
      <c r="I40" s="43">
        <v>22097</v>
      </c>
      <c r="J40" s="44">
        <v>-1.9629088780935299E-3</v>
      </c>
    </row>
    <row r="41" spans="1:10" x14ac:dyDescent="0.35">
      <c r="A41" s="40" t="s">
        <v>220</v>
      </c>
      <c r="B41" s="41">
        <v>3106.4</v>
      </c>
      <c r="C41" s="42">
        <v>2.9153274013841001E-3</v>
      </c>
      <c r="D41" s="40">
        <v>40</v>
      </c>
      <c r="E41" s="40">
        <v>48085</v>
      </c>
      <c r="F41" s="42">
        <v>2E-3</v>
      </c>
      <c r="G41" s="40">
        <v>59</v>
      </c>
      <c r="H41" s="37">
        <v>6.3</v>
      </c>
      <c r="I41" s="43">
        <v>12322</v>
      </c>
      <c r="J41" s="44">
        <v>-9.1532740138410007E-4</v>
      </c>
    </row>
    <row r="42" spans="1:10" x14ac:dyDescent="0.35">
      <c r="A42" s="40" t="s">
        <v>132</v>
      </c>
      <c r="B42" s="41">
        <v>3079.2</v>
      </c>
      <c r="C42" s="42">
        <v>2.889800455299356E-3</v>
      </c>
      <c r="D42" s="40">
        <v>41</v>
      </c>
      <c r="E42" s="40">
        <v>166800</v>
      </c>
      <c r="F42" s="42">
        <v>6.0000000000000001E-3</v>
      </c>
      <c r="G42" s="40">
        <v>30</v>
      </c>
      <c r="H42" s="37">
        <v>2.2000000000000002</v>
      </c>
      <c r="I42" s="43">
        <v>5897</v>
      </c>
      <c r="J42" s="46">
        <v>3.1101995447006441E-3</v>
      </c>
    </row>
    <row r="43" spans="1:10" x14ac:dyDescent="0.35">
      <c r="A43" s="40" t="s">
        <v>253</v>
      </c>
      <c r="B43" s="41">
        <v>2531</v>
      </c>
      <c r="C43" s="42">
        <v>2.375319872811987E-3</v>
      </c>
      <c r="D43" s="40">
        <v>42</v>
      </c>
      <c r="E43" s="40">
        <v>96382</v>
      </c>
      <c r="F43" s="42">
        <v>3.0000000000000001E-3</v>
      </c>
      <c r="G43" s="40">
        <v>40</v>
      </c>
      <c r="H43" s="37">
        <v>8.6999999999999993</v>
      </c>
      <c r="I43" s="43">
        <v>30681</v>
      </c>
      <c r="J43" s="46">
        <v>6.2468012718801301E-4</v>
      </c>
    </row>
    <row r="44" spans="1:10" x14ac:dyDescent="0.35">
      <c r="A44" s="40" t="s">
        <v>248</v>
      </c>
      <c r="B44" s="41">
        <v>2390.5</v>
      </c>
      <c r="C44" s="42">
        <v>2.2434619343963077E-3</v>
      </c>
      <c r="D44" s="40">
        <v>43</v>
      </c>
      <c r="E44" s="40">
        <v>66693</v>
      </c>
      <c r="F44" s="42">
        <v>2E-3</v>
      </c>
      <c r="G44" s="40">
        <v>49</v>
      </c>
      <c r="H44" s="37">
        <v>12.7</v>
      </c>
      <c r="I44" s="43">
        <v>36320</v>
      </c>
      <c r="J44" s="44">
        <v>-2.4346193439630766E-4</v>
      </c>
    </row>
    <row r="45" spans="1:10" x14ac:dyDescent="0.35">
      <c r="A45" s="40" t="s">
        <v>283</v>
      </c>
      <c r="B45" s="41">
        <v>2373.1999999999998</v>
      </c>
      <c r="C45" s="42">
        <v>2.2272260458938787E-3</v>
      </c>
      <c r="D45" s="40">
        <v>44</v>
      </c>
      <c r="E45" s="40">
        <v>187865</v>
      </c>
      <c r="F45" s="42">
        <v>6.9999999999999993E-3</v>
      </c>
      <c r="G45" s="40">
        <v>26</v>
      </c>
      <c r="H45" s="37">
        <v>7.2</v>
      </c>
      <c r="I45" s="43">
        <v>14081</v>
      </c>
      <c r="J45" s="46">
        <v>4.7727739541061206E-3</v>
      </c>
    </row>
    <row r="46" spans="1:10" x14ac:dyDescent="0.35">
      <c r="A46" s="40" t="s">
        <v>146</v>
      </c>
      <c r="B46" s="41">
        <v>2320.9</v>
      </c>
      <c r="C46" s="42">
        <v>2.1781429841206405E-3</v>
      </c>
      <c r="D46" s="40">
        <v>45</v>
      </c>
      <c r="E46" s="40">
        <v>41826</v>
      </c>
      <c r="F46" s="42">
        <v>2E-3</v>
      </c>
      <c r="G46" s="40">
        <v>64</v>
      </c>
      <c r="H46" s="37">
        <v>5.6</v>
      </c>
      <c r="I46" s="43">
        <v>43196</v>
      </c>
      <c r="J46" s="44">
        <v>-1.7814298412064051E-4</v>
      </c>
    </row>
    <row r="47" spans="1:10" x14ac:dyDescent="0.35">
      <c r="A47" s="40" t="s">
        <v>302</v>
      </c>
      <c r="B47" s="41">
        <v>2303</v>
      </c>
      <c r="C47" s="42">
        <v>2.1613440012192833E-3</v>
      </c>
      <c r="D47" s="40">
        <v>46</v>
      </c>
      <c r="E47" s="40">
        <v>142659</v>
      </c>
      <c r="F47" s="42">
        <v>5.0000000000000001E-3</v>
      </c>
      <c r="G47" s="40">
        <v>31</v>
      </c>
      <c r="H47" s="37">
        <v>0.9</v>
      </c>
      <c r="I47" s="43">
        <v>2624</v>
      </c>
      <c r="J47" s="46">
        <v>2.8386559987807168E-3</v>
      </c>
    </row>
    <row r="48" spans="1:10" x14ac:dyDescent="0.35">
      <c r="A48" s="40" t="s">
        <v>377</v>
      </c>
      <c r="B48" s="41">
        <v>2221.9</v>
      </c>
      <c r="C48" s="42">
        <v>2.0852324082974928E-3</v>
      </c>
      <c r="D48" s="40">
        <v>47</v>
      </c>
      <c r="E48" s="40">
        <v>53266</v>
      </c>
      <c r="F48" s="42">
        <v>2E-3</v>
      </c>
      <c r="G48" s="40">
        <v>57</v>
      </c>
      <c r="H48" s="37">
        <v>5.0999999999999996</v>
      </c>
      <c r="I48" s="43">
        <v>11000</v>
      </c>
      <c r="J48" s="44">
        <v>-8.5232408297492793E-5</v>
      </c>
    </row>
    <row r="49" spans="1:10" x14ac:dyDescent="0.35">
      <c r="A49" s="40" t="s">
        <v>378</v>
      </c>
      <c r="B49" s="41">
        <v>2186.1</v>
      </c>
      <c r="C49" s="42">
        <v>2.0516344424947788E-3</v>
      </c>
      <c r="D49" s="40">
        <v>48</v>
      </c>
      <c r="E49" s="40">
        <v>92572</v>
      </c>
      <c r="F49" s="42">
        <v>3.0000000000000001E-3</v>
      </c>
      <c r="G49" s="40">
        <v>41</v>
      </c>
      <c r="H49" s="37">
        <v>3.2</v>
      </c>
      <c r="I49" s="43">
        <v>3477</v>
      </c>
      <c r="J49" s="46">
        <v>9.483655575052213E-4</v>
      </c>
    </row>
    <row r="50" spans="1:10" x14ac:dyDescent="0.35">
      <c r="A50" s="40" t="s">
        <v>133</v>
      </c>
      <c r="B50" s="41">
        <v>2179.3000000000002</v>
      </c>
      <c r="C50" s="42">
        <v>2.045252705973593E-3</v>
      </c>
      <c r="D50" s="40">
        <v>49</v>
      </c>
      <c r="E50" s="40">
        <v>97262</v>
      </c>
      <c r="F50" s="42">
        <v>1E-3</v>
      </c>
      <c r="G50" s="40">
        <v>39</v>
      </c>
      <c r="H50" s="37">
        <v>0.7</v>
      </c>
      <c r="I50" s="43">
        <v>2162</v>
      </c>
      <c r="J50" s="44">
        <v>-1.0452527059735929E-3</v>
      </c>
    </row>
    <row r="51" spans="1:10" x14ac:dyDescent="0.35">
      <c r="A51" s="40" t="s">
        <v>202</v>
      </c>
      <c r="B51" s="41">
        <v>2161.1999999999998</v>
      </c>
      <c r="C51" s="42">
        <v>2.0282660249392598E-3</v>
      </c>
      <c r="D51" s="40">
        <v>50</v>
      </c>
      <c r="E51" s="40">
        <v>132715</v>
      </c>
      <c r="F51" s="42">
        <v>5.0000000000000001E-3</v>
      </c>
      <c r="G51" s="40">
        <v>33</v>
      </c>
      <c r="H51" s="37">
        <v>4</v>
      </c>
      <c r="I51" s="43">
        <v>6709</v>
      </c>
      <c r="J51" s="46">
        <v>2.9717339750607403E-3</v>
      </c>
    </row>
    <row r="52" spans="1:10" x14ac:dyDescent="0.35">
      <c r="A52" s="40" t="s">
        <v>229</v>
      </c>
      <c r="B52" s="41">
        <v>2137.5</v>
      </c>
      <c r="C52" s="42">
        <v>2.0060237961815972E-3</v>
      </c>
      <c r="D52" s="40">
        <v>51</v>
      </c>
      <c r="E52" s="40">
        <v>63422</v>
      </c>
      <c r="F52" s="42">
        <v>2E-3</v>
      </c>
      <c r="G52" s="40">
        <v>50</v>
      </c>
      <c r="H52" s="37">
        <v>1.4</v>
      </c>
      <c r="I52" s="43">
        <v>8229</v>
      </c>
      <c r="J52" s="47">
        <v>-6.0237961815971797E-6</v>
      </c>
    </row>
    <row r="53" spans="1:10" x14ac:dyDescent="0.35">
      <c r="A53" s="40" t="s">
        <v>207</v>
      </c>
      <c r="B53" s="41">
        <v>1933.5</v>
      </c>
      <c r="C53" s="42">
        <v>1.8145717005460201E-3</v>
      </c>
      <c r="D53" s="40">
        <v>52</v>
      </c>
      <c r="E53" s="40">
        <v>35050</v>
      </c>
      <c r="F53" s="42">
        <v>1E-3</v>
      </c>
      <c r="G53" s="40">
        <v>71</v>
      </c>
      <c r="H53" s="37">
        <v>4.2</v>
      </c>
      <c r="I53" s="43">
        <v>8634</v>
      </c>
      <c r="J53" s="44">
        <v>-8.1457170054602011E-4</v>
      </c>
    </row>
    <row r="54" spans="1:10" x14ac:dyDescent="0.35">
      <c r="A54" s="40" t="s">
        <v>307</v>
      </c>
      <c r="B54" s="41">
        <v>1833.2</v>
      </c>
      <c r="C54" s="42">
        <v>1.7204410868585283E-3</v>
      </c>
      <c r="D54" s="40">
        <v>53</v>
      </c>
      <c r="E54" s="40">
        <v>68328</v>
      </c>
      <c r="F54" s="42">
        <v>2E-3</v>
      </c>
      <c r="G54" s="40">
        <v>48</v>
      </c>
      <c r="H54" s="37">
        <v>0.8</v>
      </c>
      <c r="I54" s="43">
        <v>3515</v>
      </c>
      <c r="J54" s="46">
        <v>2.7955891314147179E-4</v>
      </c>
    </row>
    <row r="55" spans="1:10" x14ac:dyDescent="0.35">
      <c r="A55" s="40" t="s">
        <v>156</v>
      </c>
      <c r="B55" s="41">
        <v>1738.5</v>
      </c>
      <c r="C55" s="42">
        <v>1.6315660208943658E-3</v>
      </c>
      <c r="D55" s="40">
        <v>54</v>
      </c>
      <c r="E55" s="40">
        <v>44103</v>
      </c>
      <c r="F55" s="42">
        <v>2E-3</v>
      </c>
      <c r="G55" s="40">
        <v>62</v>
      </c>
      <c r="H55" s="37">
        <v>9</v>
      </c>
      <c r="I55" s="43">
        <v>5757</v>
      </c>
      <c r="J55" s="46">
        <v>3.6843397910563428E-4</v>
      </c>
    </row>
    <row r="56" spans="1:10" x14ac:dyDescent="0.35">
      <c r="A56" s="40" t="s">
        <v>300</v>
      </c>
      <c r="B56" s="41">
        <v>1728.4</v>
      </c>
      <c r="C56" s="42">
        <v>1.622087265179075E-3</v>
      </c>
      <c r="D56" s="40">
        <v>55</v>
      </c>
      <c r="E56" s="40">
        <v>40220</v>
      </c>
      <c r="F56" s="42">
        <v>2E-3</v>
      </c>
      <c r="G56" s="40">
        <v>67</v>
      </c>
      <c r="H56" s="37">
        <v>9.3000000000000007</v>
      </c>
      <c r="I56" s="43">
        <v>53738</v>
      </c>
      <c r="J56" s="46">
        <v>3.7791273482092502E-4</v>
      </c>
    </row>
    <row r="57" spans="1:10" x14ac:dyDescent="0.35">
      <c r="A57" s="40" t="s">
        <v>308</v>
      </c>
      <c r="B57" s="41">
        <v>1691.4</v>
      </c>
      <c r="C57" s="42">
        <v>1.5873631105785045E-3</v>
      </c>
      <c r="D57" s="40">
        <v>56</v>
      </c>
      <c r="E57" s="40">
        <v>60001</v>
      </c>
      <c r="F57" s="42">
        <v>2E-3</v>
      </c>
      <c r="G57" s="40">
        <v>52</v>
      </c>
      <c r="H57" s="37">
        <v>5.7</v>
      </c>
      <c r="I57" s="43">
        <v>22232</v>
      </c>
      <c r="J57" s="46">
        <v>4.1263688942149552E-4</v>
      </c>
    </row>
    <row r="58" spans="1:10" x14ac:dyDescent="0.35">
      <c r="A58" s="40" t="s">
        <v>228</v>
      </c>
      <c r="B58" s="41">
        <v>1673.5</v>
      </c>
      <c r="C58" s="42">
        <v>1.5705641276771475E-3</v>
      </c>
      <c r="D58" s="40">
        <v>57</v>
      </c>
      <c r="E58" s="40">
        <v>60100</v>
      </c>
      <c r="F58" s="42">
        <v>2E-3</v>
      </c>
      <c r="G58" s="40">
        <v>51</v>
      </c>
      <c r="H58" s="37">
        <v>3.7</v>
      </c>
      <c r="I58" s="43">
        <v>14529</v>
      </c>
      <c r="J58" s="46">
        <v>4.2943587232285255E-4</v>
      </c>
    </row>
    <row r="59" spans="1:10" x14ac:dyDescent="0.35">
      <c r="A59" s="40" t="s">
        <v>130</v>
      </c>
      <c r="B59" s="41">
        <v>1660.4</v>
      </c>
      <c r="C59" s="42">
        <v>1.5582698999672159E-3</v>
      </c>
      <c r="D59" s="40">
        <v>58</v>
      </c>
      <c r="E59" s="40">
        <v>139553</v>
      </c>
      <c r="F59" s="42">
        <v>5.0000000000000001E-3</v>
      </c>
      <c r="G59" s="40">
        <v>32</v>
      </c>
      <c r="H59" s="37">
        <v>32.799999999999997</v>
      </c>
      <c r="I59" s="43">
        <v>38894</v>
      </c>
      <c r="J59" s="46">
        <v>3.4417301000327842E-3</v>
      </c>
    </row>
    <row r="60" spans="1:10" x14ac:dyDescent="0.35">
      <c r="A60" s="40" t="s">
        <v>271</v>
      </c>
      <c r="B60" s="41">
        <v>1605.3</v>
      </c>
      <c r="C60" s="42">
        <v>1.5065590643323125E-3</v>
      </c>
      <c r="D60" s="40">
        <v>59</v>
      </c>
      <c r="E60" s="40">
        <v>86599</v>
      </c>
      <c r="F60" s="42">
        <v>3.0000000000000001E-3</v>
      </c>
      <c r="G60" s="40">
        <v>42</v>
      </c>
      <c r="H60" s="37">
        <v>31.2</v>
      </c>
      <c r="I60" s="43">
        <v>39915</v>
      </c>
      <c r="J60" s="46">
        <v>1.4934409356676876E-3</v>
      </c>
    </row>
    <row r="61" spans="1:10" x14ac:dyDescent="0.35">
      <c r="A61" s="40" t="s">
        <v>264</v>
      </c>
      <c r="B61" s="41">
        <v>1583.4</v>
      </c>
      <c r="C61" s="42">
        <v>1.4860061187714345E-3</v>
      </c>
      <c r="D61" s="40">
        <v>60</v>
      </c>
      <c r="E61" s="40">
        <v>43806</v>
      </c>
      <c r="F61" s="42">
        <v>2E-3</v>
      </c>
      <c r="G61" s="40">
        <v>63</v>
      </c>
      <c r="H61" s="37">
        <v>10.4</v>
      </c>
      <c r="I61" s="43">
        <v>42110</v>
      </c>
      <c r="J61" s="46">
        <v>5.1399388122856551E-4</v>
      </c>
    </row>
    <row r="62" spans="1:10" x14ac:dyDescent="0.35">
      <c r="A62" s="40" t="s">
        <v>265</v>
      </c>
      <c r="B62" s="41">
        <v>1434.2</v>
      </c>
      <c r="C62" s="42">
        <v>1.3459833115712968E-3</v>
      </c>
      <c r="D62" s="40">
        <v>61</v>
      </c>
      <c r="E62" s="40">
        <v>70440</v>
      </c>
      <c r="F62" s="42">
        <v>3.0000000000000001E-3</v>
      </c>
      <c r="G62" s="40">
        <v>45</v>
      </c>
      <c r="H62" s="37">
        <v>10.3</v>
      </c>
      <c r="I62" s="43">
        <v>28474</v>
      </c>
      <c r="J62" s="46">
        <v>1.6540166884287033E-3</v>
      </c>
    </row>
    <row r="63" spans="1:10" x14ac:dyDescent="0.35">
      <c r="A63" s="40" t="s">
        <v>160</v>
      </c>
      <c r="B63" s="41">
        <v>1312</v>
      </c>
      <c r="C63" s="42">
        <v>1.2312997523229265E-3</v>
      </c>
      <c r="D63" s="40">
        <v>62</v>
      </c>
      <c r="E63" s="40">
        <v>106132</v>
      </c>
      <c r="F63" s="42">
        <v>4.0000000000000001E-3</v>
      </c>
      <c r="G63" s="40">
        <v>37</v>
      </c>
      <c r="H63" s="37">
        <v>1.2</v>
      </c>
      <c r="I63" s="43">
        <v>2794</v>
      </c>
      <c r="J63" s="46">
        <v>2.7687002476770735E-3</v>
      </c>
    </row>
    <row r="64" spans="1:10" x14ac:dyDescent="0.35">
      <c r="A64" s="40" t="s">
        <v>297</v>
      </c>
      <c r="B64" s="41">
        <v>1268.0999999999999</v>
      </c>
      <c r="C64" s="42">
        <v>1.1901000121346823E-3</v>
      </c>
      <c r="D64" s="40">
        <v>63</v>
      </c>
      <c r="E64" s="40">
        <v>30488</v>
      </c>
      <c r="F64" s="42">
        <v>1E-3</v>
      </c>
      <c r="G64" s="40">
        <v>74</v>
      </c>
      <c r="H64" s="37">
        <v>7.4</v>
      </c>
      <c r="I64" s="43">
        <v>27083</v>
      </c>
      <c r="J64" s="44">
        <v>-1.9010001213468227E-4</v>
      </c>
    </row>
    <row r="65" spans="1:10" x14ac:dyDescent="0.35">
      <c r="A65" s="40" t="s">
        <v>379</v>
      </c>
      <c r="B65" s="41">
        <v>1225.5</v>
      </c>
      <c r="C65" s="42">
        <v>1.1501203098107824E-3</v>
      </c>
      <c r="D65" s="40">
        <v>64</v>
      </c>
      <c r="E65" s="40">
        <v>29627</v>
      </c>
      <c r="F65" s="42">
        <v>1E-3</v>
      </c>
      <c r="G65" s="40">
        <v>75</v>
      </c>
      <c r="H65" s="37">
        <v>2.6</v>
      </c>
      <c r="I65" s="43" t="s">
        <v>375</v>
      </c>
      <c r="J65" s="44">
        <v>-1.5012030981078239E-4</v>
      </c>
    </row>
    <row r="66" spans="1:10" x14ac:dyDescent="0.35">
      <c r="A66" s="40" t="s">
        <v>277</v>
      </c>
      <c r="B66" s="41">
        <v>1158.3</v>
      </c>
      <c r="C66" s="42">
        <v>1.0870537371308274E-3</v>
      </c>
      <c r="D66" s="40">
        <v>65</v>
      </c>
      <c r="E66" s="40">
        <v>55495</v>
      </c>
      <c r="F66" s="42">
        <v>2E-3</v>
      </c>
      <c r="G66" s="40">
        <v>55</v>
      </c>
      <c r="H66" s="37">
        <v>9.1999999999999993</v>
      </c>
      <c r="I66" s="43">
        <v>14192</v>
      </c>
      <c r="J66" s="46">
        <v>9.1294626286917259E-4</v>
      </c>
    </row>
    <row r="67" spans="1:10" x14ac:dyDescent="0.35">
      <c r="A67" s="40" t="s">
        <v>317</v>
      </c>
      <c r="B67" s="41">
        <v>1109.7</v>
      </c>
      <c r="C67" s="42">
        <v>1.0414430908176461E-3</v>
      </c>
      <c r="D67" s="40">
        <v>66</v>
      </c>
      <c r="E67" s="40">
        <v>56217</v>
      </c>
      <c r="F67" s="42">
        <v>2E-3</v>
      </c>
      <c r="G67" s="40">
        <v>54</v>
      </c>
      <c r="H67" s="37">
        <v>12.8</v>
      </c>
      <c r="I67" s="43">
        <v>51226</v>
      </c>
      <c r="J67" s="46">
        <v>9.5855690918235392E-4</v>
      </c>
    </row>
    <row r="68" spans="1:10" x14ac:dyDescent="0.35">
      <c r="A68" s="40" t="s">
        <v>380</v>
      </c>
      <c r="B68" s="41">
        <v>1096.7</v>
      </c>
      <c r="C68" s="42">
        <v>1.0292427121742025E-3</v>
      </c>
      <c r="D68" s="40">
        <v>67</v>
      </c>
      <c r="E68" s="40">
        <v>68460</v>
      </c>
      <c r="F68" s="42">
        <v>2E-3</v>
      </c>
      <c r="G68" s="40">
        <v>47</v>
      </c>
      <c r="H68" s="37">
        <v>3.5</v>
      </c>
      <c r="I68" s="43">
        <v>4757</v>
      </c>
      <c r="J68" s="46">
        <v>9.7075728782579753E-4</v>
      </c>
    </row>
    <row r="69" spans="1:10" x14ac:dyDescent="0.35">
      <c r="A69" s="40" t="s">
        <v>306</v>
      </c>
      <c r="B69" s="41">
        <v>1044.5</v>
      </c>
      <c r="C69" s="42">
        <v>9.8025349946745171E-4</v>
      </c>
      <c r="D69" s="40">
        <v>68</v>
      </c>
      <c r="E69" s="40">
        <v>38643</v>
      </c>
      <c r="F69" s="42">
        <v>1E-3</v>
      </c>
      <c r="G69" s="40">
        <v>69</v>
      </c>
      <c r="H69" s="37">
        <v>1.4</v>
      </c>
      <c r="I69" s="43">
        <v>8594</v>
      </c>
      <c r="J69" s="42">
        <v>1.9746500532548308E-5</v>
      </c>
    </row>
    <row r="70" spans="1:10" x14ac:dyDescent="0.35">
      <c r="A70" s="40" t="s">
        <v>245</v>
      </c>
      <c r="B70" s="41">
        <v>1015.2</v>
      </c>
      <c r="C70" s="42">
        <v>9.5275572298645966E-4</v>
      </c>
      <c r="D70" s="40">
        <v>69</v>
      </c>
      <c r="E70" s="40">
        <v>17523</v>
      </c>
      <c r="F70" s="42">
        <v>1E-3</v>
      </c>
      <c r="G70" s="40">
        <v>83</v>
      </c>
      <c r="H70" s="37">
        <v>13.1</v>
      </c>
      <c r="I70" s="43">
        <v>20561</v>
      </c>
      <c r="J70" s="42">
        <v>4.7244277013540358E-5</v>
      </c>
    </row>
    <row r="71" spans="1:10" x14ac:dyDescent="0.35">
      <c r="A71" s="40" t="s">
        <v>381</v>
      </c>
      <c r="B71" s="41">
        <v>1005.3</v>
      </c>
      <c r="C71" s="42">
        <v>9.4346466540414485E-4</v>
      </c>
      <c r="D71" s="40">
        <v>70</v>
      </c>
      <c r="E71" s="40">
        <v>39039</v>
      </c>
      <c r="F71" s="42">
        <v>1E-3</v>
      </c>
      <c r="G71" s="40">
        <v>68</v>
      </c>
      <c r="H71" s="37">
        <v>5.5</v>
      </c>
      <c r="I71" s="43">
        <v>43847</v>
      </c>
      <c r="J71" s="46">
        <v>5.6535334595855173E-5</v>
      </c>
    </row>
    <row r="72" spans="1:10" x14ac:dyDescent="0.35">
      <c r="A72" s="40" t="s">
        <v>278</v>
      </c>
      <c r="B72" s="41">
        <v>860.6</v>
      </c>
      <c r="C72" s="42">
        <v>8.0766506619596847E-4</v>
      </c>
      <c r="D72" s="40">
        <v>71</v>
      </c>
      <c r="E72" s="40">
        <v>14190</v>
      </c>
      <c r="F72" s="42">
        <v>1E-3</v>
      </c>
      <c r="G72" s="40">
        <v>86</v>
      </c>
      <c r="H72" s="37">
        <v>4.2</v>
      </c>
      <c r="I72" s="43">
        <v>18977</v>
      </c>
      <c r="J72" s="46">
        <v>1.9233493380403156E-4</v>
      </c>
    </row>
    <row r="73" spans="1:10" x14ac:dyDescent="0.35">
      <c r="A73" s="40" t="s">
        <v>291</v>
      </c>
      <c r="B73" s="41">
        <v>812.3</v>
      </c>
      <c r="C73" s="42">
        <v>7.6233596708225092E-4</v>
      </c>
      <c r="D73" s="40">
        <v>72</v>
      </c>
      <c r="E73" s="40">
        <v>45316</v>
      </c>
      <c r="F73" s="42">
        <v>2E-3</v>
      </c>
      <c r="G73" s="40">
        <v>61</v>
      </c>
      <c r="H73" s="37">
        <v>1.5</v>
      </c>
      <c r="I73" s="43">
        <v>4362</v>
      </c>
      <c r="J73" s="46">
        <v>1.2376640329177491E-3</v>
      </c>
    </row>
    <row r="74" spans="1:10" x14ac:dyDescent="0.35">
      <c r="A74" s="40" t="s">
        <v>235</v>
      </c>
      <c r="B74" s="41">
        <v>743.2</v>
      </c>
      <c r="C74" s="42">
        <v>6.9748626213902369E-4</v>
      </c>
      <c r="D74" s="40">
        <v>73</v>
      </c>
      <c r="E74" s="40">
        <v>23683</v>
      </c>
      <c r="F74" s="42">
        <v>1E-3</v>
      </c>
      <c r="G74" s="40">
        <v>77</v>
      </c>
      <c r="H74" s="37">
        <v>5.2</v>
      </c>
      <c r="I74" s="43">
        <v>18575</v>
      </c>
      <c r="J74" s="46">
        <v>3.0251373786097633E-4</v>
      </c>
    </row>
    <row r="75" spans="1:10" x14ac:dyDescent="0.35">
      <c r="A75" s="40" t="s">
        <v>382</v>
      </c>
      <c r="B75" s="41">
        <v>718.3</v>
      </c>
      <c r="C75" s="42">
        <v>6.741178445835046E-4</v>
      </c>
      <c r="D75" s="40">
        <v>74</v>
      </c>
      <c r="E75" s="40">
        <v>7821</v>
      </c>
      <c r="F75" s="42">
        <v>0</v>
      </c>
      <c r="G75" s="40">
        <v>100</v>
      </c>
      <c r="H75" s="37">
        <v>2</v>
      </c>
      <c r="I75" s="43">
        <v>2984</v>
      </c>
      <c r="J75" s="42">
        <v>0</v>
      </c>
    </row>
    <row r="76" spans="1:10" x14ac:dyDescent="0.35">
      <c r="A76" s="40" t="s">
        <v>154</v>
      </c>
      <c r="B76" s="41">
        <v>694.3</v>
      </c>
      <c r="C76" s="42">
        <v>6.5159406862637793E-4</v>
      </c>
      <c r="D76" s="40">
        <v>75</v>
      </c>
      <c r="E76" s="40">
        <v>33601</v>
      </c>
      <c r="F76" s="42">
        <v>1E-3</v>
      </c>
      <c r="G76" s="40">
        <v>72</v>
      </c>
      <c r="H76" s="37">
        <v>25.3</v>
      </c>
      <c r="I76" s="43">
        <v>20338</v>
      </c>
      <c r="J76" s="46">
        <v>3.4840593137362209E-4</v>
      </c>
    </row>
    <row r="77" spans="1:10" x14ac:dyDescent="0.35">
      <c r="A77" s="40" t="s">
        <v>217</v>
      </c>
      <c r="B77" s="41">
        <v>666.1</v>
      </c>
      <c r="C77" s="42">
        <v>6.2512863187675412E-4</v>
      </c>
      <c r="D77" s="40">
        <v>76</v>
      </c>
      <c r="E77" s="40">
        <v>27438</v>
      </c>
      <c r="F77" s="42">
        <v>1E-3</v>
      </c>
      <c r="G77" s="40">
        <v>76</v>
      </c>
      <c r="H77" s="37">
        <v>7</v>
      </c>
      <c r="I77" s="43">
        <v>7624</v>
      </c>
      <c r="J77" s="46">
        <v>3.748713681232459E-4</v>
      </c>
    </row>
    <row r="78" spans="1:10" x14ac:dyDescent="0.35">
      <c r="A78" s="40" t="s">
        <v>279</v>
      </c>
      <c r="B78" s="41">
        <v>634.79999999999995</v>
      </c>
      <c r="C78" s="42">
        <v>5.957538740660013E-4</v>
      </c>
      <c r="D78" s="40">
        <v>77</v>
      </c>
      <c r="E78" s="40">
        <v>11277</v>
      </c>
      <c r="F78" s="42">
        <v>0</v>
      </c>
      <c r="G78" s="40">
        <v>91</v>
      </c>
      <c r="H78" s="37">
        <v>24.5</v>
      </c>
      <c r="I78" s="43">
        <v>82441</v>
      </c>
      <c r="J78" s="42">
        <v>0</v>
      </c>
    </row>
    <row r="79" spans="1:10" x14ac:dyDescent="0.35">
      <c r="A79" s="40" t="s">
        <v>163</v>
      </c>
      <c r="B79" s="41">
        <v>614.20000000000005</v>
      </c>
      <c r="C79" s="42">
        <v>5.7642096636946764E-4</v>
      </c>
      <c r="D79" s="40">
        <v>78</v>
      </c>
      <c r="E79" s="40">
        <v>11081</v>
      </c>
      <c r="F79" s="42">
        <v>0</v>
      </c>
      <c r="G79" s="40">
        <v>92</v>
      </c>
      <c r="H79" s="37">
        <v>0.8</v>
      </c>
      <c r="I79" s="48">
        <v>268</v>
      </c>
      <c r="J79" s="42">
        <v>0</v>
      </c>
    </row>
    <row r="80" spans="1:10" x14ac:dyDescent="0.35">
      <c r="A80" s="40" t="s">
        <v>319</v>
      </c>
      <c r="B80" s="41">
        <v>598</v>
      </c>
      <c r="C80" s="42">
        <v>5.6121741759840706E-4</v>
      </c>
      <c r="D80" s="40">
        <v>79</v>
      </c>
      <c r="E80" s="40">
        <v>15173</v>
      </c>
      <c r="F80" s="42">
        <v>1E-3</v>
      </c>
      <c r="G80" s="40">
        <v>85</v>
      </c>
      <c r="H80" s="37">
        <v>7.6</v>
      </c>
      <c r="I80" s="43">
        <v>29521</v>
      </c>
      <c r="J80" s="46">
        <v>4.3878258240159296E-4</v>
      </c>
    </row>
    <row r="81" spans="1:10" x14ac:dyDescent="0.35">
      <c r="A81" s="40" t="s">
        <v>309</v>
      </c>
      <c r="B81" s="41">
        <v>586.79999999999995</v>
      </c>
      <c r="C81" s="42">
        <v>5.5070632215174786E-4</v>
      </c>
      <c r="D81" s="40">
        <v>80</v>
      </c>
      <c r="E81" s="40">
        <v>46193</v>
      </c>
      <c r="F81" s="42">
        <v>2E-3</v>
      </c>
      <c r="G81" s="40">
        <v>60</v>
      </c>
      <c r="H81" s="37">
        <v>56.2</v>
      </c>
      <c r="I81" s="43">
        <v>86008</v>
      </c>
      <c r="J81" s="46">
        <v>1.4492936778482523E-3</v>
      </c>
    </row>
    <row r="82" spans="1:10" x14ac:dyDescent="0.35">
      <c r="A82" s="40" t="s">
        <v>241</v>
      </c>
      <c r="B82" s="41">
        <v>575.70000000000005</v>
      </c>
      <c r="C82" s="42">
        <v>5.4028907577157684E-4</v>
      </c>
      <c r="D82" s="40">
        <v>81</v>
      </c>
      <c r="E82" s="40">
        <v>31328</v>
      </c>
      <c r="F82" s="42">
        <v>1E-3</v>
      </c>
      <c r="G82" s="40">
        <v>73</v>
      </c>
      <c r="H82" s="37">
        <v>2.4</v>
      </c>
      <c r="I82" s="43">
        <v>7786</v>
      </c>
      <c r="J82" s="46">
        <v>4.5971092422842318E-4</v>
      </c>
    </row>
    <row r="83" spans="1:10" x14ac:dyDescent="0.35">
      <c r="A83" s="40" t="s">
        <v>210</v>
      </c>
      <c r="B83" s="41">
        <v>562.6</v>
      </c>
      <c r="C83" s="42">
        <v>5.2799484806164516E-4</v>
      </c>
      <c r="D83" s="40">
        <v>82</v>
      </c>
      <c r="E83" s="40">
        <v>41609</v>
      </c>
      <c r="F83" s="42">
        <v>2E-3</v>
      </c>
      <c r="G83" s="40">
        <v>65</v>
      </c>
      <c r="H83" s="37">
        <v>0.3</v>
      </c>
      <c r="I83" s="43">
        <v>1399</v>
      </c>
      <c r="J83" s="46">
        <v>1.4720051519383549E-3</v>
      </c>
    </row>
    <row r="84" spans="1:10" x14ac:dyDescent="0.35">
      <c r="A84" s="40" t="s">
        <v>251</v>
      </c>
      <c r="B84" s="41">
        <v>559.1</v>
      </c>
      <c r="C84" s="42">
        <v>5.2471013073456419E-4</v>
      </c>
      <c r="D84" s="40">
        <v>83</v>
      </c>
      <c r="E84" s="40">
        <v>5518</v>
      </c>
      <c r="F84" s="42">
        <v>0</v>
      </c>
      <c r="G84" s="40">
        <v>113</v>
      </c>
      <c r="H84" s="37">
        <v>1.2</v>
      </c>
      <c r="I84" s="43">
        <v>4869</v>
      </c>
      <c r="J84" s="42">
        <v>0</v>
      </c>
    </row>
    <row r="85" spans="1:10" x14ac:dyDescent="0.35">
      <c r="A85" s="40" t="s">
        <v>274</v>
      </c>
      <c r="B85" s="41">
        <v>546.29999999999995</v>
      </c>
      <c r="C85" s="42">
        <v>5.1269745022409661E-4</v>
      </c>
      <c r="D85" s="40">
        <v>84</v>
      </c>
      <c r="E85" s="40">
        <v>7462</v>
      </c>
      <c r="F85" s="42">
        <v>0</v>
      </c>
      <c r="G85" s="40">
        <v>102</v>
      </c>
      <c r="H85" s="37">
        <v>3.3</v>
      </c>
      <c r="I85" s="43">
        <v>17106</v>
      </c>
      <c r="J85" s="42">
        <v>0</v>
      </c>
    </row>
    <row r="86" spans="1:10" x14ac:dyDescent="0.35">
      <c r="A86" s="40" t="s">
        <v>149</v>
      </c>
      <c r="B86" s="41">
        <v>511.1</v>
      </c>
      <c r="C86" s="42">
        <v>4.796625788203108E-4</v>
      </c>
      <c r="D86" s="40">
        <v>85</v>
      </c>
      <c r="E86" s="40">
        <v>6391</v>
      </c>
      <c r="F86" s="42">
        <v>0</v>
      </c>
      <c r="G86" s="40">
        <v>109</v>
      </c>
      <c r="H86" s="37">
        <v>1</v>
      </c>
      <c r="I86" s="43">
        <v>2023</v>
      </c>
      <c r="J86" s="42">
        <v>0</v>
      </c>
    </row>
    <row r="87" spans="1:10" x14ac:dyDescent="0.35">
      <c r="A87" s="40" t="s">
        <v>155</v>
      </c>
      <c r="B87" s="41">
        <v>490.3</v>
      </c>
      <c r="C87" s="42">
        <v>4.60141972990801E-4</v>
      </c>
      <c r="D87" s="40">
        <v>86</v>
      </c>
      <c r="E87" s="40">
        <v>23126</v>
      </c>
      <c r="F87" s="42">
        <v>1E-3</v>
      </c>
      <c r="G87" s="40">
        <v>78</v>
      </c>
      <c r="H87" s="37">
        <v>2.2999999999999998</v>
      </c>
      <c r="I87" s="43">
        <v>8002</v>
      </c>
      <c r="J87" s="46">
        <v>5.3985802700919896E-4</v>
      </c>
    </row>
    <row r="88" spans="1:10" x14ac:dyDescent="0.35">
      <c r="A88" s="40" t="s">
        <v>383</v>
      </c>
      <c r="B88" s="41">
        <v>415.7</v>
      </c>
      <c r="C88" s="42">
        <v>3.9013056939073213E-4</v>
      </c>
      <c r="D88" s="40">
        <v>87</v>
      </c>
      <c r="E88" s="40">
        <v>5566</v>
      </c>
      <c r="F88" s="42">
        <v>0</v>
      </c>
      <c r="G88" s="40">
        <v>112</v>
      </c>
      <c r="H88" s="37">
        <v>1.1000000000000001</v>
      </c>
      <c r="I88" s="43">
        <v>2185</v>
      </c>
      <c r="J88" s="42">
        <v>0</v>
      </c>
    </row>
    <row r="89" spans="1:10" x14ac:dyDescent="0.35">
      <c r="A89" s="40" t="s">
        <v>275</v>
      </c>
      <c r="B89" s="41">
        <v>407.9</v>
      </c>
      <c r="C89" s="42">
        <v>3.8281034220466595E-4</v>
      </c>
      <c r="D89" s="40">
        <v>88</v>
      </c>
      <c r="E89" s="40">
        <v>15330</v>
      </c>
      <c r="F89" s="42">
        <v>1E-3</v>
      </c>
      <c r="G89" s="40">
        <v>84</v>
      </c>
      <c r="H89" s="37">
        <v>3.8</v>
      </c>
      <c r="I89" s="43">
        <v>13006</v>
      </c>
      <c r="J89" s="46">
        <v>6.1718965779533402E-4</v>
      </c>
    </row>
    <row r="90" spans="1:10" x14ac:dyDescent="0.35">
      <c r="A90" s="40" t="s">
        <v>240</v>
      </c>
      <c r="B90" s="41">
        <v>402.8</v>
      </c>
      <c r="C90" s="42">
        <v>3.7802403981377654E-4</v>
      </c>
      <c r="D90" s="40">
        <v>89</v>
      </c>
      <c r="E90" s="40">
        <v>20357</v>
      </c>
      <c r="F90" s="42">
        <v>1E-3</v>
      </c>
      <c r="G90" s="40">
        <v>82</v>
      </c>
      <c r="H90" s="37">
        <v>2.1</v>
      </c>
      <c r="I90" s="43">
        <v>8619</v>
      </c>
      <c r="J90" s="46">
        <v>6.2197596018622348E-4</v>
      </c>
    </row>
    <row r="91" spans="1:10" x14ac:dyDescent="0.35">
      <c r="A91" s="40" t="s">
        <v>301</v>
      </c>
      <c r="B91" s="41">
        <v>398.3</v>
      </c>
      <c r="C91" s="42">
        <v>3.7380083182181529E-4</v>
      </c>
      <c r="D91" s="40">
        <v>90</v>
      </c>
      <c r="E91" s="40">
        <v>41378</v>
      </c>
      <c r="F91" s="42">
        <v>2E-3</v>
      </c>
      <c r="G91" s="40">
        <v>66</v>
      </c>
      <c r="H91" s="37">
        <v>16.3</v>
      </c>
      <c r="I91" s="43">
        <v>24674</v>
      </c>
      <c r="J91" s="46">
        <v>1.6261991681781848E-3</v>
      </c>
    </row>
    <row r="92" spans="1:10" x14ac:dyDescent="0.35">
      <c r="A92" s="40" t="s">
        <v>384</v>
      </c>
      <c r="B92" s="41">
        <v>394.8</v>
      </c>
      <c r="C92" s="42">
        <v>3.7051611449473432E-4</v>
      </c>
      <c r="D92" s="40">
        <v>91</v>
      </c>
      <c r="E92" s="40">
        <v>10875</v>
      </c>
      <c r="F92" s="42">
        <v>0</v>
      </c>
      <c r="G92" s="40">
        <v>93</v>
      </c>
      <c r="H92" s="37">
        <v>5.3</v>
      </c>
      <c r="I92" s="43">
        <v>9164</v>
      </c>
      <c r="J92" s="42">
        <v>0</v>
      </c>
    </row>
    <row r="93" spans="1:10" x14ac:dyDescent="0.35">
      <c r="A93" s="40" t="s">
        <v>209</v>
      </c>
      <c r="B93" s="41">
        <v>392.5</v>
      </c>
      <c r="C93" s="42">
        <v>3.6835758596550966E-4</v>
      </c>
      <c r="D93" s="40">
        <v>92</v>
      </c>
      <c r="E93" s="40">
        <v>21292</v>
      </c>
      <c r="F93" s="42">
        <v>1E-3</v>
      </c>
      <c r="G93" s="40">
        <v>79</v>
      </c>
      <c r="H93" s="37">
        <v>28.8</v>
      </c>
      <c r="I93" s="43">
        <v>34662</v>
      </c>
      <c r="J93" s="46">
        <v>6.3164241403449036E-4</v>
      </c>
    </row>
    <row r="94" spans="1:10" x14ac:dyDescent="0.35">
      <c r="A94" s="40" t="s">
        <v>267</v>
      </c>
      <c r="B94" s="41">
        <v>338.7</v>
      </c>
      <c r="C94" s="42">
        <v>3.1786678819495059E-4</v>
      </c>
      <c r="D94" s="40">
        <v>93</v>
      </c>
      <c r="E94" s="40">
        <v>20724</v>
      </c>
      <c r="F94" s="42">
        <v>1E-3</v>
      </c>
      <c r="G94" s="40">
        <v>81</v>
      </c>
      <c r="H94" s="37">
        <v>3.6</v>
      </c>
      <c r="I94" s="43">
        <v>5537</v>
      </c>
      <c r="J94" s="46">
        <v>6.8213321180504943E-4</v>
      </c>
    </row>
    <row r="95" spans="1:10" x14ac:dyDescent="0.35">
      <c r="A95" s="40" t="s">
        <v>385</v>
      </c>
      <c r="B95" s="41">
        <v>323.10000000000002</v>
      </c>
      <c r="C95" s="42">
        <v>3.0322633382281827E-4</v>
      </c>
      <c r="D95" s="40">
        <v>94</v>
      </c>
      <c r="E95" s="40">
        <v>21201</v>
      </c>
      <c r="F95" s="42">
        <v>1E-3</v>
      </c>
      <c r="G95" s="40">
        <v>80</v>
      </c>
      <c r="H95" s="37">
        <v>1</v>
      </c>
      <c r="I95" s="43">
        <v>2411</v>
      </c>
      <c r="J95" s="46">
        <v>6.967736661771817E-4</v>
      </c>
    </row>
    <row r="96" spans="1:10" x14ac:dyDescent="0.35">
      <c r="A96" s="40" t="s">
        <v>266</v>
      </c>
      <c r="B96" s="41">
        <v>306.3</v>
      </c>
      <c r="C96" s="42">
        <v>2.8745969065282958E-4</v>
      </c>
      <c r="D96" s="40">
        <v>95</v>
      </c>
      <c r="E96" s="40">
        <v>12151</v>
      </c>
      <c r="F96" s="42">
        <v>0</v>
      </c>
      <c r="G96" s="40">
        <v>87</v>
      </c>
      <c r="H96" s="37">
        <v>4.5</v>
      </c>
      <c r="I96" s="43">
        <v>8967</v>
      </c>
      <c r="J96" s="42">
        <v>0</v>
      </c>
    </row>
    <row r="97" spans="1:10" x14ac:dyDescent="0.35">
      <c r="A97" s="40" t="s">
        <v>386</v>
      </c>
      <c r="B97" s="41">
        <v>300.8</v>
      </c>
      <c r="C97" s="42">
        <v>2.8229799199598805E-4</v>
      </c>
      <c r="D97" s="40">
        <v>96</v>
      </c>
      <c r="E97" s="40">
        <v>10025</v>
      </c>
      <c r="F97" s="42">
        <v>0</v>
      </c>
      <c r="G97" s="40">
        <v>96</v>
      </c>
      <c r="H97" s="37">
        <v>0.2</v>
      </c>
      <c r="I97" s="43">
        <v>1156</v>
      </c>
      <c r="J97" s="42">
        <v>0</v>
      </c>
    </row>
    <row r="98" spans="1:10" x14ac:dyDescent="0.35">
      <c r="A98" s="40" t="s">
        <v>268</v>
      </c>
      <c r="B98" s="41">
        <v>285.3</v>
      </c>
      <c r="C98" s="42">
        <v>2.6775138669034369E-4</v>
      </c>
      <c r="D98" s="40">
        <v>97</v>
      </c>
      <c r="E98" s="40">
        <v>12151</v>
      </c>
      <c r="F98" s="42">
        <v>0</v>
      </c>
      <c r="G98" s="40">
        <v>88</v>
      </c>
      <c r="H98" s="37">
        <v>0.3</v>
      </c>
      <c r="I98" s="43">
        <v>1712</v>
      </c>
      <c r="J98" s="42">
        <v>0</v>
      </c>
    </row>
    <row r="99" spans="1:10" x14ac:dyDescent="0.35">
      <c r="A99" s="40" t="s">
        <v>290</v>
      </c>
      <c r="B99" s="41">
        <v>284.3</v>
      </c>
      <c r="C99" s="42">
        <v>2.6681289602546341E-4</v>
      </c>
      <c r="D99" s="40">
        <v>98</v>
      </c>
      <c r="E99" s="40">
        <v>9442</v>
      </c>
      <c r="F99" s="42">
        <v>0</v>
      </c>
      <c r="G99" s="40">
        <v>97</v>
      </c>
      <c r="H99" s="37">
        <v>3.6</v>
      </c>
      <c r="I99" s="43">
        <v>3547</v>
      </c>
      <c r="J99" s="42">
        <v>0</v>
      </c>
    </row>
    <row r="100" spans="1:10" x14ac:dyDescent="0.35">
      <c r="A100" s="40" t="s">
        <v>158</v>
      </c>
      <c r="B100" s="41">
        <v>280.39999999999998</v>
      </c>
      <c r="C100" s="42">
        <v>2.6315278243243032E-4</v>
      </c>
      <c r="D100" s="40">
        <v>99</v>
      </c>
      <c r="E100" s="40">
        <v>6864</v>
      </c>
      <c r="F100" s="42">
        <v>0</v>
      </c>
      <c r="G100" s="40">
        <v>106</v>
      </c>
      <c r="H100" s="37">
        <v>2.1</v>
      </c>
      <c r="I100" s="43">
        <v>12785</v>
      </c>
      <c r="J100" s="42">
        <v>0</v>
      </c>
    </row>
    <row r="101" spans="1:10" x14ac:dyDescent="0.35">
      <c r="A101" s="40" t="s">
        <v>216</v>
      </c>
      <c r="B101" s="41">
        <v>260.10000000000002</v>
      </c>
      <c r="C101" s="42">
        <v>2.4410142193536069E-4</v>
      </c>
      <c r="D101" s="40">
        <v>100</v>
      </c>
      <c r="E101" s="40">
        <v>6973</v>
      </c>
      <c r="F101" s="42">
        <v>0</v>
      </c>
      <c r="G101" s="40">
        <v>104</v>
      </c>
      <c r="H101" s="37">
        <v>1.2</v>
      </c>
      <c r="I101" s="43">
        <v>4345</v>
      </c>
      <c r="J101" s="42">
        <v>0</v>
      </c>
    </row>
    <row r="102" spans="1:10" x14ac:dyDescent="0.35">
      <c r="A102" s="40" t="s">
        <v>387</v>
      </c>
      <c r="B102" s="41">
        <v>258.3</v>
      </c>
      <c r="C102" s="42">
        <v>2.4241213873857617E-4</v>
      </c>
      <c r="D102" s="40">
        <v>101</v>
      </c>
      <c r="E102" s="40">
        <v>5911</v>
      </c>
      <c r="F102" s="42">
        <v>0</v>
      </c>
      <c r="G102" s="40">
        <v>111</v>
      </c>
      <c r="H102" s="37">
        <v>15.5</v>
      </c>
      <c r="I102" s="43">
        <v>50199</v>
      </c>
      <c r="J102" s="42">
        <v>0</v>
      </c>
    </row>
    <row r="103" spans="1:10" x14ac:dyDescent="0.35">
      <c r="A103" s="40" t="s">
        <v>205</v>
      </c>
      <c r="B103" s="41">
        <v>253.1</v>
      </c>
      <c r="C103" s="42">
        <v>2.3753198728119872E-4</v>
      </c>
      <c r="D103" s="40">
        <v>102</v>
      </c>
      <c r="E103" s="40">
        <v>4371</v>
      </c>
      <c r="F103" s="42">
        <v>0</v>
      </c>
      <c r="G103" s="40">
        <v>117</v>
      </c>
      <c r="H103" s="37">
        <v>1.5</v>
      </c>
      <c r="I103" s="43">
        <v>5792</v>
      </c>
      <c r="J103" s="42">
        <v>0</v>
      </c>
    </row>
    <row r="104" spans="1:10" x14ac:dyDescent="0.35">
      <c r="A104" s="40" t="s">
        <v>321</v>
      </c>
      <c r="B104" s="41">
        <v>250.2</v>
      </c>
      <c r="C104" s="42">
        <v>2.348103643530459E-4</v>
      </c>
      <c r="D104" s="40">
        <v>103</v>
      </c>
      <c r="E104" s="40">
        <v>11876</v>
      </c>
      <c r="F104" s="42">
        <v>0</v>
      </c>
      <c r="G104" s="40">
        <v>89</v>
      </c>
      <c r="H104" s="37">
        <v>0.6</v>
      </c>
      <c r="I104" s="43">
        <v>4589</v>
      </c>
      <c r="J104" s="42">
        <v>0</v>
      </c>
    </row>
    <row r="105" spans="1:10" x14ac:dyDescent="0.35">
      <c r="A105" s="40" t="s">
        <v>203</v>
      </c>
      <c r="B105" s="41">
        <v>249.7</v>
      </c>
      <c r="C105" s="42">
        <v>2.3434111902060576E-4</v>
      </c>
      <c r="D105" s="40">
        <v>104</v>
      </c>
      <c r="E105" s="40">
        <v>10582</v>
      </c>
      <c r="F105" s="42">
        <v>0</v>
      </c>
      <c r="G105" s="40">
        <v>95</v>
      </c>
      <c r="H105" s="37">
        <v>0.6</v>
      </c>
      <c r="I105" s="43">
        <v>6252</v>
      </c>
      <c r="J105" s="42">
        <v>0</v>
      </c>
    </row>
    <row r="106" spans="1:10" x14ac:dyDescent="0.35">
      <c r="A106" s="40" t="s">
        <v>388</v>
      </c>
      <c r="B106" s="41">
        <v>230.9</v>
      </c>
      <c r="C106" s="42">
        <v>2.1669749452085652E-4</v>
      </c>
      <c r="D106" s="40">
        <v>105</v>
      </c>
      <c r="E106" s="40">
        <v>2200</v>
      </c>
      <c r="F106" s="42">
        <v>0</v>
      </c>
      <c r="G106" s="40">
        <v>135</v>
      </c>
      <c r="H106" s="37">
        <v>0</v>
      </c>
      <c r="I106" s="48">
        <v>330</v>
      </c>
      <c r="J106" s="42">
        <v>0</v>
      </c>
    </row>
    <row r="107" spans="1:10" x14ac:dyDescent="0.35">
      <c r="A107" s="40" t="s">
        <v>196</v>
      </c>
      <c r="B107" s="41">
        <v>219.2</v>
      </c>
      <c r="C107" s="42">
        <v>2.0571715374175724E-4</v>
      </c>
      <c r="D107" s="40">
        <v>106</v>
      </c>
      <c r="E107" s="40">
        <v>4301</v>
      </c>
      <c r="F107" s="42">
        <v>0</v>
      </c>
      <c r="G107" s="40">
        <v>120</v>
      </c>
      <c r="H107" s="37">
        <v>1.4</v>
      </c>
      <c r="I107" s="43">
        <v>6897</v>
      </c>
      <c r="J107" s="42">
        <v>0</v>
      </c>
    </row>
    <row r="108" spans="1:10" x14ac:dyDescent="0.35">
      <c r="A108" s="40" t="s">
        <v>255</v>
      </c>
      <c r="B108" s="41">
        <v>213.4</v>
      </c>
      <c r="C108" s="42">
        <v>2.0027390788545163E-4</v>
      </c>
      <c r="D108" s="40">
        <v>107</v>
      </c>
      <c r="E108" s="40">
        <v>11766</v>
      </c>
      <c r="F108" s="42">
        <v>0</v>
      </c>
      <c r="G108" s="40">
        <v>90</v>
      </c>
      <c r="H108" s="37">
        <v>0.9</v>
      </c>
      <c r="I108" s="43">
        <v>4907</v>
      </c>
      <c r="J108" s="42">
        <v>0</v>
      </c>
    </row>
    <row r="109" spans="1:10" x14ac:dyDescent="0.35">
      <c r="A109" s="40" t="s">
        <v>325</v>
      </c>
      <c r="B109" s="41">
        <v>203.1</v>
      </c>
      <c r="C109" s="42">
        <v>1.9060745403718475E-4</v>
      </c>
      <c r="D109" s="40">
        <v>108</v>
      </c>
      <c r="E109" s="40">
        <v>10813</v>
      </c>
      <c r="F109" s="42">
        <v>0</v>
      </c>
      <c r="G109" s="40">
        <v>94</v>
      </c>
      <c r="H109" s="37">
        <v>0.3</v>
      </c>
      <c r="I109" s="43">
        <v>2309</v>
      </c>
      <c r="J109" s="42">
        <v>0</v>
      </c>
    </row>
    <row r="110" spans="1:10" x14ac:dyDescent="0.35">
      <c r="A110" s="40" t="s">
        <v>162</v>
      </c>
      <c r="B110" s="41">
        <v>178.8</v>
      </c>
      <c r="C110" s="42">
        <v>1.6780213088059395E-4</v>
      </c>
      <c r="D110" s="40">
        <v>109</v>
      </c>
      <c r="E110" s="40">
        <v>2471</v>
      </c>
      <c r="F110" s="42">
        <v>0</v>
      </c>
      <c r="G110" s="40">
        <v>132</v>
      </c>
      <c r="H110" s="37">
        <v>0.2</v>
      </c>
      <c r="I110" s="43">
        <v>1482</v>
      </c>
      <c r="J110" s="42">
        <v>0</v>
      </c>
    </row>
    <row r="111" spans="1:10" x14ac:dyDescent="0.35">
      <c r="A111" s="40" t="s">
        <v>236</v>
      </c>
      <c r="B111" s="41">
        <v>169.7</v>
      </c>
      <c r="C111" s="42">
        <v>1.5926186583018341E-4</v>
      </c>
      <c r="D111" s="40">
        <v>110</v>
      </c>
      <c r="E111" s="40">
        <v>7788</v>
      </c>
      <c r="F111" s="42">
        <v>0</v>
      </c>
      <c r="G111" s="40">
        <v>101</v>
      </c>
      <c r="H111" s="37">
        <v>9.1999999999999993</v>
      </c>
      <c r="I111" s="43">
        <v>29853</v>
      </c>
      <c r="J111" s="42">
        <v>0</v>
      </c>
    </row>
    <row r="112" spans="1:10" x14ac:dyDescent="0.35">
      <c r="A112" s="40" t="s">
        <v>303</v>
      </c>
      <c r="B112" s="41">
        <v>167.3</v>
      </c>
      <c r="C112" s="42">
        <v>1.5700948823447076E-4</v>
      </c>
      <c r="D112" s="40">
        <v>111</v>
      </c>
      <c r="E112" s="40">
        <v>6428</v>
      </c>
      <c r="F112" s="42">
        <v>0</v>
      </c>
      <c r="G112" s="40">
        <v>108</v>
      </c>
      <c r="H112" s="37">
        <v>2</v>
      </c>
      <c r="I112" s="43">
        <v>11362</v>
      </c>
      <c r="J112" s="42">
        <v>0</v>
      </c>
    </row>
    <row r="113" spans="1:10" x14ac:dyDescent="0.35">
      <c r="A113" s="40" t="s">
        <v>224</v>
      </c>
      <c r="B113" s="41">
        <v>161.6</v>
      </c>
      <c r="C113" s="42">
        <v>1.5166009144465314E-4</v>
      </c>
      <c r="D113" s="40">
        <v>112</v>
      </c>
      <c r="E113" s="40">
        <v>3645</v>
      </c>
      <c r="F113" s="42">
        <v>0</v>
      </c>
      <c r="G113" s="40">
        <v>125</v>
      </c>
      <c r="H113" s="37">
        <v>0.2</v>
      </c>
      <c r="I113" s="43">
        <v>2139</v>
      </c>
      <c r="J113" s="42">
        <v>0</v>
      </c>
    </row>
    <row r="114" spans="1:10" x14ac:dyDescent="0.35">
      <c r="A114" s="40" t="s">
        <v>389</v>
      </c>
      <c r="B114" s="41">
        <v>160.80000000000001</v>
      </c>
      <c r="C114" s="42">
        <v>1.5090929891274892E-4</v>
      </c>
      <c r="D114" s="40">
        <v>113</v>
      </c>
      <c r="E114" s="40">
        <v>6882</v>
      </c>
      <c r="F114" s="42">
        <v>0</v>
      </c>
      <c r="G114" s="40">
        <v>105</v>
      </c>
      <c r="H114" s="37">
        <v>0.4</v>
      </c>
      <c r="I114" s="43">
        <v>1643</v>
      </c>
      <c r="J114" s="42">
        <v>0</v>
      </c>
    </row>
    <row r="115" spans="1:10" x14ac:dyDescent="0.35">
      <c r="A115" s="40" t="s">
        <v>252</v>
      </c>
      <c r="B115" s="41">
        <v>157.80000000000001</v>
      </c>
      <c r="C115" s="42">
        <v>1.4809382691810809E-4</v>
      </c>
      <c r="D115" s="40">
        <v>114</v>
      </c>
      <c r="E115" s="40">
        <v>9240</v>
      </c>
      <c r="F115" s="42">
        <v>0</v>
      </c>
      <c r="G115" s="40">
        <v>98</v>
      </c>
      <c r="H115" s="37">
        <v>0.4</v>
      </c>
      <c r="I115" s="43">
        <v>1518</v>
      </c>
      <c r="J115" s="42">
        <v>0</v>
      </c>
    </row>
    <row r="116" spans="1:10" x14ac:dyDescent="0.35">
      <c r="A116" s="40" t="s">
        <v>249</v>
      </c>
      <c r="B116" s="41">
        <v>148.19999999999999</v>
      </c>
      <c r="C116" s="42">
        <v>1.3908431653525738E-4</v>
      </c>
      <c r="D116" s="40">
        <v>115</v>
      </c>
      <c r="E116" s="40">
        <v>2057</v>
      </c>
      <c r="F116" s="42">
        <v>0</v>
      </c>
      <c r="G116" s="40">
        <v>137</v>
      </c>
      <c r="H116" s="37">
        <v>1.6</v>
      </c>
      <c r="I116" s="43">
        <v>14545</v>
      </c>
      <c r="J116" s="42">
        <v>0</v>
      </c>
    </row>
    <row r="117" spans="1:10" x14ac:dyDescent="0.35">
      <c r="A117" s="40" t="s">
        <v>208</v>
      </c>
      <c r="B117" s="41">
        <v>137.5</v>
      </c>
      <c r="C117" s="42">
        <v>1.290424664210384E-4</v>
      </c>
      <c r="D117" s="40">
        <v>116</v>
      </c>
      <c r="E117" s="40">
        <v>2138</v>
      </c>
      <c r="F117" s="42">
        <v>0</v>
      </c>
      <c r="G117" s="40">
        <v>136</v>
      </c>
      <c r="H117" s="37">
        <v>6.5</v>
      </c>
      <c r="I117" s="43">
        <v>27735</v>
      </c>
      <c r="J117" s="42">
        <v>0</v>
      </c>
    </row>
    <row r="118" spans="1:10" x14ac:dyDescent="0.35">
      <c r="A118" s="40" t="s">
        <v>242</v>
      </c>
      <c r="B118" s="41">
        <v>135.19999999999999</v>
      </c>
      <c r="C118" s="42">
        <v>1.2688393789181377E-4</v>
      </c>
      <c r="D118" s="40">
        <v>117</v>
      </c>
      <c r="E118" s="40">
        <v>6461</v>
      </c>
      <c r="F118" s="42">
        <v>0</v>
      </c>
      <c r="G118" s="40">
        <v>107</v>
      </c>
      <c r="H118" s="37">
        <v>1</v>
      </c>
      <c r="I118" s="43">
        <v>7564</v>
      </c>
      <c r="J118" s="42">
        <v>0</v>
      </c>
    </row>
    <row r="119" spans="1:10" x14ac:dyDescent="0.35">
      <c r="A119" s="40" t="s">
        <v>233</v>
      </c>
      <c r="B119" s="41">
        <v>127.6</v>
      </c>
      <c r="C119" s="42">
        <v>1.1975140883872364E-4</v>
      </c>
      <c r="D119" s="40">
        <v>118</v>
      </c>
      <c r="E119" s="40">
        <v>7854</v>
      </c>
      <c r="F119" s="42">
        <v>3.0000000000000001E-3</v>
      </c>
      <c r="G119" s="40">
        <v>99</v>
      </c>
      <c r="H119" s="37">
        <v>1.8</v>
      </c>
      <c r="I119" s="43">
        <v>10735</v>
      </c>
      <c r="J119" s="46">
        <v>2.8802485911612764E-3</v>
      </c>
    </row>
    <row r="120" spans="1:10" x14ac:dyDescent="0.35">
      <c r="A120" s="40" t="s">
        <v>260</v>
      </c>
      <c r="B120" s="41">
        <v>115.5</v>
      </c>
      <c r="C120" s="42">
        <v>1.0839567179367227E-4</v>
      </c>
      <c r="D120" s="40">
        <v>119</v>
      </c>
      <c r="E120" s="40">
        <v>7194</v>
      </c>
      <c r="F120" s="42">
        <v>0</v>
      </c>
      <c r="G120" s="40">
        <v>103</v>
      </c>
      <c r="H120" s="37">
        <v>1</v>
      </c>
      <c r="I120" s="43">
        <v>4275</v>
      </c>
      <c r="J120" s="42">
        <v>0</v>
      </c>
    </row>
    <row r="121" spans="1:10" x14ac:dyDescent="0.35">
      <c r="A121" s="40" t="s">
        <v>313</v>
      </c>
      <c r="B121" s="41">
        <v>106.4</v>
      </c>
      <c r="C121" s="42">
        <v>9.9855406743261724E-5</v>
      </c>
      <c r="D121" s="40">
        <v>120</v>
      </c>
      <c r="E121" s="40">
        <v>4261</v>
      </c>
      <c r="F121" s="42">
        <v>0</v>
      </c>
      <c r="G121" s="40">
        <v>121</v>
      </c>
      <c r="H121" s="37">
        <v>0.4</v>
      </c>
      <c r="I121" s="43">
        <v>1739</v>
      </c>
      <c r="J121" s="42">
        <v>0</v>
      </c>
    </row>
    <row r="122" spans="1:10" x14ac:dyDescent="0.35">
      <c r="A122" s="40" t="s">
        <v>150</v>
      </c>
      <c r="B122" s="41">
        <v>106.4</v>
      </c>
      <c r="C122" s="42">
        <v>9.9855406743261724E-5</v>
      </c>
      <c r="D122" s="40">
        <v>121</v>
      </c>
      <c r="E122" s="40">
        <v>5372</v>
      </c>
      <c r="F122" s="42">
        <v>0</v>
      </c>
      <c r="G122" s="40">
        <v>114</v>
      </c>
      <c r="H122" s="37">
        <v>0.1</v>
      </c>
      <c r="I122" s="43">
        <v>1353</v>
      </c>
      <c r="J122" s="42">
        <v>0</v>
      </c>
    </row>
    <row r="123" spans="1:10" x14ac:dyDescent="0.35">
      <c r="A123" s="40" t="s">
        <v>292</v>
      </c>
      <c r="B123" s="41">
        <v>102.7</v>
      </c>
      <c r="C123" s="42">
        <v>9.6382991283204691E-5</v>
      </c>
      <c r="D123" s="40">
        <v>122</v>
      </c>
      <c r="E123" s="40">
        <v>2039</v>
      </c>
      <c r="F123" s="42">
        <v>0</v>
      </c>
      <c r="G123" s="40">
        <v>138</v>
      </c>
      <c r="H123" s="37">
        <v>0.1</v>
      </c>
      <c r="I123" s="48">
        <v>903</v>
      </c>
      <c r="J123" s="42">
        <v>0</v>
      </c>
    </row>
    <row r="124" spans="1:10" x14ac:dyDescent="0.35">
      <c r="A124" s="40" t="s">
        <v>298</v>
      </c>
      <c r="B124" s="41">
        <v>99.6</v>
      </c>
      <c r="C124" s="42">
        <v>9.3473670222075813E-5</v>
      </c>
      <c r="D124" s="40">
        <v>123</v>
      </c>
      <c r="E124" s="40">
        <v>4334</v>
      </c>
      <c r="F124" s="42">
        <v>0</v>
      </c>
      <c r="G124" s="40">
        <v>119</v>
      </c>
      <c r="H124" s="37">
        <v>0.8</v>
      </c>
      <c r="I124" s="43">
        <v>2698</v>
      </c>
      <c r="J124" s="42">
        <v>0</v>
      </c>
    </row>
    <row r="125" spans="1:10" x14ac:dyDescent="0.35">
      <c r="A125" s="40" t="s">
        <v>246</v>
      </c>
      <c r="B125" s="41">
        <v>93.5</v>
      </c>
      <c r="C125" s="42">
        <v>8.7748877166306117E-5</v>
      </c>
      <c r="D125" s="40">
        <v>124</v>
      </c>
      <c r="E125" s="40">
        <v>6006</v>
      </c>
      <c r="F125" s="42">
        <v>0</v>
      </c>
      <c r="G125" s="40">
        <v>110</v>
      </c>
      <c r="H125" s="37">
        <v>0.1</v>
      </c>
      <c r="I125" s="48">
        <v>898</v>
      </c>
      <c r="J125" s="42">
        <v>0</v>
      </c>
    </row>
    <row r="126" spans="1:10" x14ac:dyDescent="0.35">
      <c r="A126" s="40" t="s">
        <v>262</v>
      </c>
      <c r="B126" s="41">
        <v>89.8</v>
      </c>
      <c r="C126" s="42">
        <v>8.4276461706249084E-5</v>
      </c>
      <c r="D126" s="40">
        <v>125</v>
      </c>
      <c r="E126" s="40">
        <v>2215</v>
      </c>
      <c r="F126" s="42">
        <v>0</v>
      </c>
      <c r="G126" s="40">
        <v>134</v>
      </c>
      <c r="H126" s="37">
        <v>7.4</v>
      </c>
      <c r="I126" s="43">
        <v>40471</v>
      </c>
      <c r="J126" s="42">
        <v>0</v>
      </c>
    </row>
    <row r="127" spans="1:10" x14ac:dyDescent="0.35">
      <c r="A127" s="40" t="s">
        <v>305</v>
      </c>
      <c r="B127" s="41">
        <v>84</v>
      </c>
      <c r="C127" s="42">
        <v>7.8833215849943465E-5</v>
      </c>
      <c r="D127" s="40">
        <v>126</v>
      </c>
      <c r="E127" s="40">
        <v>3986</v>
      </c>
      <c r="F127" s="42">
        <v>0</v>
      </c>
      <c r="G127" s="40">
        <v>123</v>
      </c>
      <c r="H127" s="37">
        <v>0.7</v>
      </c>
      <c r="I127" s="43">
        <v>4786</v>
      </c>
      <c r="J127" s="42">
        <v>0</v>
      </c>
    </row>
    <row r="128" spans="1:10" x14ac:dyDescent="0.35">
      <c r="A128" s="40" t="s">
        <v>326</v>
      </c>
      <c r="B128" s="41">
        <v>82.2</v>
      </c>
      <c r="C128" s="42">
        <v>7.714393265315897E-5</v>
      </c>
      <c r="D128" s="40">
        <v>127</v>
      </c>
      <c r="E128" s="40">
        <v>2438</v>
      </c>
      <c r="F128" s="42">
        <v>0</v>
      </c>
      <c r="G128" s="40">
        <v>133</v>
      </c>
      <c r="H128" s="37">
        <v>5.4</v>
      </c>
      <c r="I128" s="43">
        <v>8188</v>
      </c>
      <c r="J128" s="42">
        <v>0</v>
      </c>
    </row>
    <row r="129" spans="1:10" x14ac:dyDescent="0.35">
      <c r="A129" s="40" t="s">
        <v>390</v>
      </c>
      <c r="B129" s="41">
        <v>77.099999999999994</v>
      </c>
      <c r="C129" s="42">
        <v>7.2357630262269538E-5</v>
      </c>
      <c r="D129" s="40">
        <v>128</v>
      </c>
      <c r="E129" s="40">
        <v>697</v>
      </c>
      <c r="F129" s="42">
        <v>0</v>
      </c>
      <c r="G129" s="40">
        <v>157</v>
      </c>
      <c r="H129" s="37">
        <v>0</v>
      </c>
      <c r="I129" s="48">
        <v>760</v>
      </c>
      <c r="J129" s="42">
        <v>0</v>
      </c>
    </row>
    <row r="130" spans="1:10" x14ac:dyDescent="0.35">
      <c r="A130" s="40" t="s">
        <v>304</v>
      </c>
      <c r="B130" s="41">
        <v>76.2</v>
      </c>
      <c r="C130" s="42">
        <v>7.151298866387729E-5</v>
      </c>
      <c r="D130" s="40">
        <v>129</v>
      </c>
      <c r="E130" s="40">
        <v>4620</v>
      </c>
      <c r="F130" s="42">
        <v>0</v>
      </c>
      <c r="G130" s="40">
        <v>116</v>
      </c>
      <c r="H130" s="37">
        <v>0.7</v>
      </c>
      <c r="I130" s="43">
        <v>2108</v>
      </c>
      <c r="J130" s="42">
        <v>0</v>
      </c>
    </row>
    <row r="131" spans="1:10" x14ac:dyDescent="0.35">
      <c r="A131" s="40" t="s">
        <v>218</v>
      </c>
      <c r="B131" s="41">
        <v>74.7</v>
      </c>
      <c r="C131" s="42">
        <v>7.0105252666556874E-5</v>
      </c>
      <c r="D131" s="40">
        <v>130</v>
      </c>
      <c r="E131" s="40">
        <v>4770</v>
      </c>
      <c r="F131" s="42">
        <v>0</v>
      </c>
      <c r="G131" s="40">
        <v>115</v>
      </c>
      <c r="H131" s="37">
        <v>2.6</v>
      </c>
      <c r="I131" s="43">
        <v>14907</v>
      </c>
      <c r="J131" s="42">
        <v>0</v>
      </c>
    </row>
    <row r="132" spans="1:10" x14ac:dyDescent="0.35">
      <c r="A132" s="40" t="s">
        <v>258</v>
      </c>
      <c r="B132" s="41">
        <v>65.8</v>
      </c>
      <c r="C132" s="42">
        <v>6.1752685749122377E-5</v>
      </c>
      <c r="D132" s="40">
        <v>131</v>
      </c>
      <c r="E132" s="40">
        <v>1507</v>
      </c>
      <c r="F132" s="42">
        <v>0</v>
      </c>
      <c r="G132" s="40">
        <v>142</v>
      </c>
      <c r="H132" s="37">
        <v>2</v>
      </c>
      <c r="I132" s="43">
        <v>4029</v>
      </c>
      <c r="J132" s="42">
        <v>0</v>
      </c>
    </row>
    <row r="133" spans="1:10" x14ac:dyDescent="0.35">
      <c r="A133" s="40" t="s">
        <v>286</v>
      </c>
      <c r="B133" s="41">
        <v>65.2</v>
      </c>
      <c r="C133" s="42">
        <v>6.1189591350194222E-5</v>
      </c>
      <c r="D133" s="40">
        <v>132</v>
      </c>
      <c r="E133" s="40">
        <v>2548</v>
      </c>
      <c r="F133" s="42">
        <v>0</v>
      </c>
      <c r="G133" s="40">
        <v>131</v>
      </c>
      <c r="H133" s="37">
        <v>6.3</v>
      </c>
      <c r="I133" s="43">
        <v>23971</v>
      </c>
      <c r="J133" s="42">
        <v>0</v>
      </c>
    </row>
    <row r="134" spans="1:10" x14ac:dyDescent="0.35">
      <c r="A134" s="40" t="s">
        <v>287</v>
      </c>
      <c r="B134" s="41">
        <v>62.6</v>
      </c>
      <c r="C134" s="42">
        <v>5.874951562150549E-5</v>
      </c>
      <c r="D134" s="40">
        <v>133</v>
      </c>
      <c r="E134" s="40">
        <v>1665</v>
      </c>
      <c r="F134" s="42">
        <v>0</v>
      </c>
      <c r="G134" s="40">
        <v>140</v>
      </c>
      <c r="H134" s="37">
        <v>0.5</v>
      </c>
      <c r="I134" s="43">
        <v>2055</v>
      </c>
      <c r="J134" s="42">
        <v>0</v>
      </c>
    </row>
    <row r="135" spans="1:10" x14ac:dyDescent="0.35">
      <c r="A135" s="40" t="s">
        <v>281</v>
      </c>
      <c r="B135" s="41">
        <v>56.8</v>
      </c>
      <c r="C135" s="42">
        <v>5.3306269765199864E-5</v>
      </c>
      <c r="D135" s="40">
        <v>134</v>
      </c>
      <c r="E135" s="40">
        <v>2834</v>
      </c>
      <c r="F135" s="42">
        <v>0</v>
      </c>
      <c r="G135" s="40">
        <v>128</v>
      </c>
      <c r="H135" s="37">
        <v>0.1</v>
      </c>
      <c r="I135" s="48">
        <v>996</v>
      </c>
      <c r="J135" s="42">
        <v>0</v>
      </c>
    </row>
    <row r="136" spans="1:10" x14ac:dyDescent="0.35">
      <c r="A136" s="40" t="s">
        <v>288</v>
      </c>
      <c r="B136" s="41">
        <v>52.1</v>
      </c>
      <c r="C136" s="42">
        <v>4.8895363640262554E-5</v>
      </c>
      <c r="D136" s="40">
        <v>135</v>
      </c>
      <c r="E136" s="40">
        <v>3850</v>
      </c>
      <c r="F136" s="42">
        <v>0</v>
      </c>
      <c r="G136" s="40">
        <v>124</v>
      </c>
      <c r="H136" s="37">
        <v>3.1</v>
      </c>
      <c r="I136" s="43">
        <v>12011</v>
      </c>
      <c r="J136" s="42">
        <v>0</v>
      </c>
    </row>
    <row r="137" spans="1:10" x14ac:dyDescent="0.35">
      <c r="A137" s="40" t="s">
        <v>157</v>
      </c>
      <c r="B137" s="41">
        <v>47.8</v>
      </c>
      <c r="C137" s="42">
        <v>4.4859853781277351E-5</v>
      </c>
      <c r="D137" s="40">
        <v>136</v>
      </c>
      <c r="E137" s="40">
        <v>2706</v>
      </c>
      <c r="F137" s="42">
        <v>0</v>
      </c>
      <c r="G137" s="40">
        <v>130</v>
      </c>
      <c r="H137" s="37">
        <v>0.1</v>
      </c>
      <c r="I137" s="43">
        <v>1147</v>
      </c>
      <c r="J137" s="42">
        <v>0</v>
      </c>
    </row>
    <row r="138" spans="1:10" x14ac:dyDescent="0.35">
      <c r="A138" s="40" t="s">
        <v>295</v>
      </c>
      <c r="B138" s="41">
        <v>46.1</v>
      </c>
      <c r="C138" s="42">
        <v>4.3264419650980881E-5</v>
      </c>
      <c r="D138" s="40">
        <v>137</v>
      </c>
      <c r="E138" s="40">
        <v>3241</v>
      </c>
      <c r="F138" s="42">
        <v>0</v>
      </c>
      <c r="G138" s="40">
        <v>126</v>
      </c>
      <c r="H138" s="37">
        <v>0.1</v>
      </c>
      <c r="I138" s="43">
        <v>1144</v>
      </c>
      <c r="J138" s="42">
        <v>0</v>
      </c>
    </row>
    <row r="139" spans="1:10" x14ac:dyDescent="0.35">
      <c r="A139" s="40" t="s">
        <v>256</v>
      </c>
      <c r="B139" s="41">
        <v>44.8</v>
      </c>
      <c r="C139" s="42">
        <v>4.2044381786636511E-5</v>
      </c>
      <c r="D139" s="40">
        <v>138</v>
      </c>
      <c r="E139" s="40">
        <v>1360</v>
      </c>
      <c r="F139" s="42">
        <v>0</v>
      </c>
      <c r="G139" s="40">
        <v>144</v>
      </c>
      <c r="H139" s="37">
        <v>0.1</v>
      </c>
      <c r="I139" s="43">
        <v>1014</v>
      </c>
      <c r="J139" s="42">
        <v>0</v>
      </c>
    </row>
    <row r="140" spans="1:10" x14ac:dyDescent="0.35">
      <c r="A140" s="40" t="s">
        <v>243</v>
      </c>
      <c r="B140" s="41">
        <v>38.200000000000003</v>
      </c>
      <c r="C140" s="42">
        <v>3.5850343398426676E-5</v>
      </c>
      <c r="D140" s="40">
        <v>139</v>
      </c>
      <c r="E140" s="40">
        <v>4356</v>
      </c>
      <c r="F140" s="42">
        <v>0</v>
      </c>
      <c r="G140" s="40">
        <v>118</v>
      </c>
      <c r="H140" s="37">
        <v>8.8000000000000007</v>
      </c>
      <c r="I140" s="43">
        <v>18058</v>
      </c>
      <c r="J140" s="42">
        <v>0</v>
      </c>
    </row>
    <row r="141" spans="1:10" x14ac:dyDescent="0.35">
      <c r="A141" s="40" t="s">
        <v>259</v>
      </c>
      <c r="B141" s="41">
        <v>38.1</v>
      </c>
      <c r="C141" s="42">
        <v>3.5756494331938645E-5</v>
      </c>
      <c r="D141" s="40">
        <v>140</v>
      </c>
      <c r="E141" s="40">
        <v>1811</v>
      </c>
      <c r="F141" s="42">
        <v>0</v>
      </c>
      <c r="G141" s="40">
        <v>139</v>
      </c>
      <c r="H141" s="37">
        <v>0.2</v>
      </c>
      <c r="I141" s="43">
        <v>1317</v>
      </c>
      <c r="J141" s="42">
        <v>0</v>
      </c>
    </row>
    <row r="142" spans="1:10" x14ac:dyDescent="0.35">
      <c r="A142" s="40" t="s">
        <v>391</v>
      </c>
      <c r="B142" s="41">
        <v>37.799999999999997</v>
      </c>
      <c r="C142" s="42">
        <v>3.547494713247456E-5</v>
      </c>
      <c r="D142" s="40">
        <v>141</v>
      </c>
      <c r="E142" s="40">
        <v>785</v>
      </c>
      <c r="F142" s="42">
        <v>0</v>
      </c>
      <c r="G142" s="40">
        <v>155</v>
      </c>
      <c r="H142" s="37">
        <v>0.2</v>
      </c>
      <c r="I142" s="48">
        <v>373</v>
      </c>
      <c r="J142" s="42">
        <v>0</v>
      </c>
    </row>
    <row r="143" spans="1:10" x14ac:dyDescent="0.35">
      <c r="A143" s="40" t="s">
        <v>211</v>
      </c>
      <c r="B143" s="41">
        <v>35.5</v>
      </c>
      <c r="C143" s="42">
        <v>3.331641860324992E-5</v>
      </c>
      <c r="D143" s="40">
        <v>142</v>
      </c>
      <c r="E143" s="40">
        <v>1338</v>
      </c>
      <c r="F143" s="42">
        <v>0</v>
      </c>
      <c r="G143" s="40">
        <v>145</v>
      </c>
      <c r="H143" s="37">
        <v>4.5999999999999996</v>
      </c>
      <c r="I143" s="43">
        <v>18977</v>
      </c>
      <c r="J143" s="42">
        <v>0</v>
      </c>
    </row>
    <row r="144" spans="1:10" x14ac:dyDescent="0.35">
      <c r="A144" s="40" t="s">
        <v>247</v>
      </c>
      <c r="B144" s="41">
        <v>32.799999999999997</v>
      </c>
      <c r="C144" s="42">
        <v>3.0782493808073158E-5</v>
      </c>
      <c r="D144" s="40">
        <v>143</v>
      </c>
      <c r="E144" s="40">
        <v>1610</v>
      </c>
      <c r="F144" s="42">
        <v>0</v>
      </c>
      <c r="G144" s="40">
        <v>141</v>
      </c>
      <c r="H144" s="37">
        <v>1.9</v>
      </c>
      <c r="I144" s="43">
        <v>4196</v>
      </c>
      <c r="J144" s="42">
        <v>0</v>
      </c>
    </row>
    <row r="145" spans="1:10" x14ac:dyDescent="0.35">
      <c r="A145" s="40" t="s">
        <v>282</v>
      </c>
      <c r="B145" s="41">
        <v>32.700000000000003</v>
      </c>
      <c r="C145" s="42">
        <v>3.0688644741585141E-5</v>
      </c>
      <c r="D145" s="40">
        <v>144</v>
      </c>
      <c r="E145" s="40">
        <v>1049</v>
      </c>
      <c r="F145" s="42">
        <v>0</v>
      </c>
      <c r="G145" s="40">
        <v>147</v>
      </c>
      <c r="H145" s="37">
        <v>0.1</v>
      </c>
      <c r="I145" s="48">
        <v>836</v>
      </c>
      <c r="J145" s="42">
        <v>0</v>
      </c>
    </row>
    <row r="146" spans="1:10" x14ac:dyDescent="0.35">
      <c r="A146" s="40" t="s">
        <v>299</v>
      </c>
      <c r="B146" s="41">
        <v>31.2</v>
      </c>
      <c r="C146" s="42">
        <v>2.9280908744264715E-5</v>
      </c>
      <c r="D146" s="40">
        <v>145</v>
      </c>
      <c r="E146" s="40">
        <v>935</v>
      </c>
      <c r="F146" s="42">
        <v>0</v>
      </c>
      <c r="G146" s="40">
        <v>150</v>
      </c>
      <c r="H146" s="37">
        <v>0.1</v>
      </c>
      <c r="I146" s="48">
        <v>740</v>
      </c>
      <c r="J146" s="42">
        <v>0</v>
      </c>
    </row>
    <row r="147" spans="1:10" x14ac:dyDescent="0.35">
      <c r="A147" s="40" t="s">
        <v>214</v>
      </c>
      <c r="B147" s="41">
        <v>28.7</v>
      </c>
      <c r="C147" s="42">
        <v>2.6934682082064017E-5</v>
      </c>
      <c r="D147" s="40">
        <v>146</v>
      </c>
      <c r="E147" s="40">
        <v>3109</v>
      </c>
      <c r="F147" s="42">
        <v>0</v>
      </c>
      <c r="G147" s="40">
        <v>127</v>
      </c>
      <c r="H147" s="37">
        <v>0.4</v>
      </c>
      <c r="I147" s="43">
        <v>1608</v>
      </c>
      <c r="J147" s="42">
        <v>0</v>
      </c>
    </row>
    <row r="148" spans="1:10" x14ac:dyDescent="0.35">
      <c r="A148" s="40" t="s">
        <v>152</v>
      </c>
      <c r="B148" s="41">
        <v>28.2</v>
      </c>
      <c r="C148" s="42">
        <v>2.6465436749623878E-5</v>
      </c>
      <c r="D148" s="40">
        <v>147</v>
      </c>
      <c r="E148" s="40">
        <v>1221</v>
      </c>
      <c r="F148" s="42">
        <v>0</v>
      </c>
      <c r="G148" s="40">
        <v>146</v>
      </c>
      <c r="H148" s="37">
        <v>0.2</v>
      </c>
      <c r="I148" s="48">
        <v>812</v>
      </c>
      <c r="J148" s="42">
        <v>0</v>
      </c>
    </row>
    <row r="149" spans="1:10" x14ac:dyDescent="0.35">
      <c r="A149" s="40" t="s">
        <v>294</v>
      </c>
      <c r="B149" s="41">
        <v>27.3</v>
      </c>
      <c r="C149" s="42">
        <v>2.5620795151231627E-5</v>
      </c>
      <c r="D149" s="40">
        <v>148</v>
      </c>
      <c r="E149" s="40">
        <v>2831</v>
      </c>
      <c r="F149" s="42">
        <v>0</v>
      </c>
      <c r="G149" s="40">
        <v>129</v>
      </c>
      <c r="H149" s="37">
        <v>1.4</v>
      </c>
      <c r="I149" s="43">
        <v>6612</v>
      </c>
      <c r="J149" s="42">
        <v>0</v>
      </c>
    </row>
    <row r="150" spans="1:10" x14ac:dyDescent="0.35">
      <c r="A150" s="40" t="s">
        <v>316</v>
      </c>
      <c r="B150" s="41">
        <v>25.8</v>
      </c>
      <c r="C150" s="42">
        <v>2.4213059153911207E-5</v>
      </c>
      <c r="D150" s="40">
        <v>149</v>
      </c>
      <c r="E150" s="40">
        <v>994</v>
      </c>
      <c r="F150" s="42">
        <v>0</v>
      </c>
      <c r="G150" s="40">
        <v>149</v>
      </c>
      <c r="H150" s="37">
        <v>0.2</v>
      </c>
      <c r="I150" s="48">
        <v>725</v>
      </c>
      <c r="J150" s="42">
        <v>0</v>
      </c>
    </row>
    <row r="151" spans="1:10" x14ac:dyDescent="0.35">
      <c r="A151" s="40" t="s">
        <v>221</v>
      </c>
      <c r="B151" s="41">
        <v>23.7</v>
      </c>
      <c r="C151" s="42">
        <v>2.2242228757662621E-5</v>
      </c>
      <c r="D151" s="40">
        <v>150</v>
      </c>
      <c r="E151" s="40">
        <v>788</v>
      </c>
      <c r="F151" s="42">
        <v>0</v>
      </c>
      <c r="G151" s="40">
        <v>154</v>
      </c>
      <c r="H151" s="37">
        <v>0.1</v>
      </c>
      <c r="I151" s="43">
        <v>1268</v>
      </c>
      <c r="J151" s="42">
        <v>0</v>
      </c>
    </row>
    <row r="152" spans="1:10" x14ac:dyDescent="0.35">
      <c r="A152" s="40" t="s">
        <v>223</v>
      </c>
      <c r="B152" s="41">
        <v>20.5</v>
      </c>
      <c r="C152" s="42">
        <v>1.9239058630045727E-5</v>
      </c>
      <c r="D152" s="40">
        <v>151</v>
      </c>
      <c r="E152" s="40">
        <v>4074</v>
      </c>
      <c r="F152" s="42">
        <v>0</v>
      </c>
      <c r="G152" s="40">
        <v>122</v>
      </c>
      <c r="H152" s="37">
        <v>0.3</v>
      </c>
      <c r="I152" s="43">
        <v>2082</v>
      </c>
      <c r="J152" s="42">
        <v>0</v>
      </c>
    </row>
    <row r="153" spans="1:10" x14ac:dyDescent="0.35">
      <c r="A153" s="40" t="s">
        <v>392</v>
      </c>
      <c r="B153" s="41">
        <v>19.600000000000001</v>
      </c>
      <c r="C153" s="42">
        <v>1.8394417031653477E-5</v>
      </c>
      <c r="D153" s="40">
        <v>152</v>
      </c>
      <c r="E153" s="40">
        <v>172</v>
      </c>
      <c r="F153" s="42">
        <v>0</v>
      </c>
      <c r="G153" s="40">
        <v>173</v>
      </c>
      <c r="H153" s="37">
        <v>0</v>
      </c>
      <c r="I153" s="43" t="s">
        <v>375</v>
      </c>
      <c r="J153" s="42">
        <v>0</v>
      </c>
    </row>
    <row r="154" spans="1:10" x14ac:dyDescent="0.35">
      <c r="A154" s="40" t="s">
        <v>393</v>
      </c>
      <c r="B154" s="41">
        <v>18.8</v>
      </c>
      <c r="C154" s="42">
        <v>1.7643624499749253E-5</v>
      </c>
      <c r="D154" s="40">
        <v>153</v>
      </c>
      <c r="E154" s="40">
        <v>1426</v>
      </c>
      <c r="F154" s="42">
        <v>0</v>
      </c>
      <c r="G154" s="40">
        <v>143</v>
      </c>
      <c r="H154" s="37">
        <v>0.2</v>
      </c>
      <c r="I154" s="43">
        <v>2127</v>
      </c>
      <c r="J154" s="42">
        <v>0</v>
      </c>
    </row>
    <row r="155" spans="1:10" x14ac:dyDescent="0.35">
      <c r="A155" s="40" t="s">
        <v>327</v>
      </c>
      <c r="B155" s="41">
        <v>18.100000000000001</v>
      </c>
      <c r="C155" s="42">
        <v>1.6986681034333057E-5</v>
      </c>
      <c r="D155" s="40">
        <v>154</v>
      </c>
      <c r="E155" s="40">
        <v>1016</v>
      </c>
      <c r="F155" s="42">
        <v>0</v>
      </c>
      <c r="G155" s="40">
        <v>148</v>
      </c>
      <c r="H155" s="37">
        <v>0.9</v>
      </c>
      <c r="I155" s="43">
        <v>5749</v>
      </c>
      <c r="J155" s="42">
        <v>0</v>
      </c>
    </row>
    <row r="156" spans="1:10" x14ac:dyDescent="0.35">
      <c r="A156" s="40" t="s">
        <v>285</v>
      </c>
      <c r="B156" s="41">
        <v>17.2</v>
      </c>
      <c r="C156" s="42">
        <v>1.6142039435940806E-5</v>
      </c>
      <c r="D156" s="40">
        <v>155</v>
      </c>
      <c r="E156" s="40">
        <v>568</v>
      </c>
      <c r="F156" s="42">
        <v>0</v>
      </c>
      <c r="G156" s="40">
        <v>158</v>
      </c>
      <c r="H156" s="37">
        <v>0</v>
      </c>
      <c r="I156" s="43">
        <v>1129</v>
      </c>
      <c r="J156" s="42">
        <v>0</v>
      </c>
    </row>
    <row r="157" spans="1:10" x14ac:dyDescent="0.35">
      <c r="A157" s="40" t="s">
        <v>204</v>
      </c>
      <c r="B157" s="41">
        <v>15.3</v>
      </c>
      <c r="C157" s="42">
        <v>1.4358907172668274E-5</v>
      </c>
      <c r="D157" s="40">
        <v>156</v>
      </c>
      <c r="E157" s="40">
        <v>425</v>
      </c>
      <c r="F157" s="42">
        <v>0</v>
      </c>
      <c r="G157" s="40">
        <v>161</v>
      </c>
      <c r="H157" s="37">
        <v>5.0999999999999996</v>
      </c>
      <c r="I157" s="43">
        <v>19340</v>
      </c>
      <c r="J157" s="42">
        <v>0</v>
      </c>
    </row>
    <row r="158" spans="1:10" x14ac:dyDescent="0.35">
      <c r="A158" s="40" t="s">
        <v>310</v>
      </c>
      <c r="B158" s="41">
        <v>14.7</v>
      </c>
      <c r="C158" s="42">
        <v>1.3795812773740107E-5</v>
      </c>
      <c r="D158" s="40">
        <v>157</v>
      </c>
      <c r="E158" s="40">
        <v>796</v>
      </c>
      <c r="F158" s="42">
        <v>0</v>
      </c>
      <c r="G158" s="40">
        <v>153</v>
      </c>
      <c r="H158" s="37">
        <v>0.1</v>
      </c>
      <c r="I158" s="43">
        <v>1043</v>
      </c>
      <c r="J158" s="42">
        <v>0</v>
      </c>
    </row>
    <row r="159" spans="1:10" x14ac:dyDescent="0.35">
      <c r="A159" s="40" t="s">
        <v>213</v>
      </c>
      <c r="B159" s="41">
        <v>12.4</v>
      </c>
      <c r="C159" s="42">
        <v>1.1637284244515465E-5</v>
      </c>
      <c r="D159" s="40">
        <v>158</v>
      </c>
      <c r="E159" s="40">
        <v>818</v>
      </c>
      <c r="F159" s="42">
        <v>0</v>
      </c>
      <c r="G159" s="40">
        <v>152</v>
      </c>
      <c r="H159" s="37">
        <v>2.9</v>
      </c>
      <c r="I159" s="43">
        <v>7954</v>
      </c>
      <c r="J159" s="42">
        <v>0</v>
      </c>
    </row>
    <row r="160" spans="1:10" x14ac:dyDescent="0.35">
      <c r="A160" s="40" t="s">
        <v>238</v>
      </c>
      <c r="B160" s="41">
        <v>11.5</v>
      </c>
      <c r="C160" s="42">
        <v>1.0792642646123213E-5</v>
      </c>
      <c r="D160" s="40">
        <v>159</v>
      </c>
      <c r="E160" s="40">
        <v>488</v>
      </c>
      <c r="F160" s="42">
        <v>0</v>
      </c>
      <c r="G160" s="40">
        <v>160</v>
      </c>
      <c r="H160" s="37">
        <v>0.6</v>
      </c>
      <c r="I160" s="43">
        <v>2396</v>
      </c>
      <c r="J160" s="42">
        <v>0</v>
      </c>
    </row>
    <row r="161" spans="1:10" x14ac:dyDescent="0.35">
      <c r="A161" s="40" t="s">
        <v>244</v>
      </c>
      <c r="B161" s="41">
        <v>9.1</v>
      </c>
      <c r="C161" s="42">
        <v>8.5402650504105419E-6</v>
      </c>
      <c r="D161" s="40">
        <v>160</v>
      </c>
      <c r="E161" s="40">
        <v>554</v>
      </c>
      <c r="F161" s="42">
        <v>0</v>
      </c>
      <c r="G161" s="40">
        <v>159</v>
      </c>
      <c r="H161" s="37">
        <v>0.1</v>
      </c>
      <c r="I161" s="48">
        <v>748</v>
      </c>
      <c r="J161" s="42">
        <v>0</v>
      </c>
    </row>
    <row r="162" spans="1:10" x14ac:dyDescent="0.35">
      <c r="A162" s="40" t="s">
        <v>394</v>
      </c>
      <c r="B162" s="41">
        <v>8.4</v>
      </c>
      <c r="C162" s="42">
        <v>7.8833215849943471E-6</v>
      </c>
      <c r="D162" s="40">
        <v>161</v>
      </c>
      <c r="E162" s="40">
        <v>249</v>
      </c>
      <c r="F162" s="42">
        <v>0</v>
      </c>
      <c r="G162" s="40">
        <v>168</v>
      </c>
      <c r="H162" s="37">
        <v>0.1</v>
      </c>
      <c r="I162" s="48">
        <v>740</v>
      </c>
      <c r="J162" s="42">
        <v>0</v>
      </c>
    </row>
    <row r="163" spans="1:10" x14ac:dyDescent="0.35">
      <c r="A163" s="40" t="s">
        <v>315</v>
      </c>
      <c r="B163" s="41">
        <v>7.5</v>
      </c>
      <c r="C163" s="42">
        <v>7.0386799866020957E-6</v>
      </c>
      <c r="D163" s="40">
        <v>162</v>
      </c>
      <c r="E163" s="40">
        <v>744</v>
      </c>
      <c r="F163" s="42">
        <v>0</v>
      </c>
      <c r="G163" s="40">
        <v>156</v>
      </c>
      <c r="H163" s="37">
        <v>8.6</v>
      </c>
      <c r="I163" s="43">
        <v>20829</v>
      </c>
      <c r="J163" s="42">
        <v>0</v>
      </c>
    </row>
    <row r="164" spans="1:10" x14ac:dyDescent="0.35">
      <c r="A164" s="40" t="s">
        <v>323</v>
      </c>
      <c r="B164" s="41">
        <v>6.7</v>
      </c>
      <c r="C164" s="42">
        <v>6.2878874546978721E-6</v>
      </c>
      <c r="D164" s="40">
        <v>163</v>
      </c>
      <c r="E164" s="40">
        <v>367</v>
      </c>
      <c r="F164" s="42">
        <v>0</v>
      </c>
      <c r="G164" s="40">
        <v>164</v>
      </c>
      <c r="H164" s="37">
        <v>2.2999999999999998</v>
      </c>
      <c r="I164" s="43">
        <v>10750</v>
      </c>
      <c r="J164" s="42">
        <v>0</v>
      </c>
    </row>
    <row r="165" spans="1:10" x14ac:dyDescent="0.35">
      <c r="A165" s="40" t="s">
        <v>395</v>
      </c>
      <c r="B165" s="41">
        <v>6.6</v>
      </c>
      <c r="C165" s="42">
        <v>6.1940383882098433E-6</v>
      </c>
      <c r="D165" s="40">
        <v>164</v>
      </c>
      <c r="E165" s="40">
        <v>334</v>
      </c>
      <c r="F165" s="42">
        <v>0</v>
      </c>
      <c r="G165" s="40">
        <v>165</v>
      </c>
      <c r="H165" s="37">
        <v>0.2</v>
      </c>
      <c r="I165" s="43">
        <v>1395</v>
      </c>
      <c r="J165" s="42">
        <v>0</v>
      </c>
    </row>
    <row r="166" spans="1:10" x14ac:dyDescent="0.35">
      <c r="A166" s="40" t="s">
        <v>284</v>
      </c>
      <c r="B166" s="41">
        <v>6.6</v>
      </c>
      <c r="C166" s="42">
        <v>6.1940383882098433E-6</v>
      </c>
      <c r="D166" s="40">
        <v>165</v>
      </c>
      <c r="E166" s="40">
        <v>869</v>
      </c>
      <c r="F166" s="42">
        <v>0</v>
      </c>
      <c r="G166" s="40">
        <v>151</v>
      </c>
      <c r="H166" s="37">
        <v>2.9</v>
      </c>
      <c r="I166" s="43">
        <v>4967</v>
      </c>
      <c r="J166" s="42">
        <v>0</v>
      </c>
    </row>
    <row r="167" spans="1:10" x14ac:dyDescent="0.35">
      <c r="A167" s="40" t="s">
        <v>227</v>
      </c>
      <c r="B167" s="41">
        <v>6.5</v>
      </c>
      <c r="C167" s="42">
        <v>6.1001893217218162E-6</v>
      </c>
      <c r="D167" s="40">
        <v>166</v>
      </c>
      <c r="E167" s="40">
        <v>396</v>
      </c>
      <c r="F167" s="42">
        <v>0</v>
      </c>
      <c r="G167" s="40">
        <v>162</v>
      </c>
      <c r="H167" s="37">
        <v>0</v>
      </c>
      <c r="I167" s="43">
        <v>1663</v>
      </c>
      <c r="J167" s="42">
        <v>0</v>
      </c>
    </row>
    <row r="168" spans="1:10" x14ac:dyDescent="0.35">
      <c r="A168" s="40" t="s">
        <v>257</v>
      </c>
      <c r="B168" s="41">
        <v>6.5</v>
      </c>
      <c r="C168" s="42">
        <v>6.1001893217218162E-6</v>
      </c>
      <c r="D168" s="40">
        <v>167</v>
      </c>
      <c r="E168" s="40">
        <v>279</v>
      </c>
      <c r="F168" s="42">
        <v>0</v>
      </c>
      <c r="G168" s="40">
        <v>167</v>
      </c>
      <c r="H168" s="37">
        <v>0.2</v>
      </c>
      <c r="I168" s="48">
        <v>486</v>
      </c>
      <c r="J168" s="42">
        <v>0</v>
      </c>
    </row>
    <row r="169" spans="1:10" x14ac:dyDescent="0.35">
      <c r="A169" s="40" t="s">
        <v>215</v>
      </c>
      <c r="B169" s="41">
        <v>6.3</v>
      </c>
      <c r="C169" s="42">
        <v>5.9124911887457595E-6</v>
      </c>
      <c r="D169" s="40">
        <v>168</v>
      </c>
      <c r="E169" s="40">
        <v>381</v>
      </c>
      <c r="F169" s="42">
        <v>0</v>
      </c>
      <c r="G169" s="40">
        <v>163</v>
      </c>
      <c r="H169" s="37">
        <v>0.6</v>
      </c>
      <c r="I169" s="43">
        <v>5312</v>
      </c>
      <c r="J169" s="42">
        <v>0</v>
      </c>
    </row>
    <row r="170" spans="1:10" x14ac:dyDescent="0.35">
      <c r="A170" s="40" t="s">
        <v>222</v>
      </c>
      <c r="B170" s="41">
        <v>6.1</v>
      </c>
      <c r="C170" s="42">
        <v>5.7247930557697036E-6</v>
      </c>
      <c r="D170" s="40">
        <v>169</v>
      </c>
      <c r="E170" s="40">
        <v>198</v>
      </c>
      <c r="F170" s="42">
        <v>0</v>
      </c>
      <c r="G170" s="40">
        <v>170</v>
      </c>
      <c r="H170" s="37">
        <v>0</v>
      </c>
      <c r="I170" s="48">
        <v>390</v>
      </c>
      <c r="J170" s="42">
        <v>0</v>
      </c>
    </row>
    <row r="171" spans="1:10" x14ac:dyDescent="0.35">
      <c r="A171" s="40" t="s">
        <v>320</v>
      </c>
      <c r="B171" s="41">
        <v>4.8</v>
      </c>
      <c r="C171" s="42">
        <v>4.5047551914253412E-6</v>
      </c>
      <c r="D171" s="40">
        <v>170</v>
      </c>
      <c r="E171" s="40">
        <v>180</v>
      </c>
      <c r="F171" s="42">
        <v>0</v>
      </c>
      <c r="G171" s="40">
        <v>172</v>
      </c>
      <c r="H171" s="37">
        <v>0.4</v>
      </c>
      <c r="I171" s="43">
        <v>2917</v>
      </c>
      <c r="J171" s="42">
        <v>0</v>
      </c>
    </row>
    <row r="172" spans="1:10" x14ac:dyDescent="0.35">
      <c r="A172" s="40" t="s">
        <v>225</v>
      </c>
      <c r="B172" s="41">
        <v>4.7</v>
      </c>
      <c r="C172" s="42">
        <v>4.4109061249373133E-6</v>
      </c>
      <c r="D172" s="40">
        <v>171</v>
      </c>
      <c r="E172" s="40">
        <v>308</v>
      </c>
      <c r="F172" s="42">
        <v>0</v>
      </c>
      <c r="G172" s="40">
        <v>166</v>
      </c>
      <c r="H172" s="37">
        <v>0.6</v>
      </c>
      <c r="I172" s="43">
        <v>3472</v>
      </c>
      <c r="J172" s="42">
        <v>0</v>
      </c>
    </row>
    <row r="173" spans="1:10" x14ac:dyDescent="0.35">
      <c r="A173" s="40" t="s">
        <v>396</v>
      </c>
      <c r="B173" s="41">
        <v>4.5</v>
      </c>
      <c r="C173" s="42">
        <v>4.2232079919612574E-6</v>
      </c>
      <c r="D173" s="40">
        <v>172</v>
      </c>
      <c r="E173" s="40">
        <v>143</v>
      </c>
      <c r="F173" s="42">
        <v>0</v>
      </c>
      <c r="G173" s="40">
        <v>175</v>
      </c>
      <c r="H173" s="37">
        <v>14.1</v>
      </c>
      <c r="I173" s="43" t="s">
        <v>375</v>
      </c>
      <c r="J173" s="42">
        <v>0</v>
      </c>
    </row>
    <row r="174" spans="1:10" x14ac:dyDescent="0.35">
      <c r="A174" s="40" t="s">
        <v>254</v>
      </c>
      <c r="B174" s="41">
        <v>4.3</v>
      </c>
      <c r="C174" s="42">
        <v>4.0355098589852015E-6</v>
      </c>
      <c r="D174" s="40">
        <v>173</v>
      </c>
      <c r="E174" s="40">
        <v>242</v>
      </c>
      <c r="F174" s="42">
        <v>0</v>
      </c>
      <c r="G174" s="40">
        <v>169</v>
      </c>
      <c r="H174" s="37">
        <v>2.2999999999999998</v>
      </c>
      <c r="I174" s="43">
        <v>11464</v>
      </c>
      <c r="J174" s="42">
        <v>0</v>
      </c>
    </row>
    <row r="175" spans="1:10" x14ac:dyDescent="0.35">
      <c r="A175" s="40" t="s">
        <v>311</v>
      </c>
      <c r="B175" s="41">
        <v>4</v>
      </c>
      <c r="C175" s="42">
        <v>3.7539626595211177E-6</v>
      </c>
      <c r="D175" s="40">
        <v>174</v>
      </c>
      <c r="E175" s="40">
        <v>158</v>
      </c>
      <c r="F175" s="42">
        <v>0</v>
      </c>
      <c r="G175" s="40">
        <v>174</v>
      </c>
      <c r="H175" s="37">
        <v>0.9</v>
      </c>
      <c r="I175" s="43">
        <v>5674</v>
      </c>
      <c r="J175" s="42">
        <v>0</v>
      </c>
    </row>
    <row r="176" spans="1:10" x14ac:dyDescent="0.35">
      <c r="A176" s="40" t="s">
        <v>397</v>
      </c>
      <c r="B176" s="41">
        <v>3.2</v>
      </c>
      <c r="C176" s="42">
        <v>3.0031701276168942E-6</v>
      </c>
      <c r="D176" s="40">
        <v>175</v>
      </c>
      <c r="E176" s="40">
        <v>198</v>
      </c>
      <c r="F176" s="42">
        <v>0</v>
      </c>
      <c r="G176" s="40">
        <v>171</v>
      </c>
      <c r="H176" s="37">
        <v>1.7</v>
      </c>
      <c r="I176" s="43">
        <v>10163</v>
      </c>
      <c r="J176" s="42">
        <v>0</v>
      </c>
    </row>
    <row r="177" spans="1:10" x14ac:dyDescent="0.35">
      <c r="A177" s="40" t="s">
        <v>398</v>
      </c>
      <c r="B177" s="41">
        <v>3.1</v>
      </c>
      <c r="C177" s="42">
        <v>2.9093210611288662E-6</v>
      </c>
      <c r="D177" s="40">
        <v>176</v>
      </c>
      <c r="E177" s="40">
        <v>117</v>
      </c>
      <c r="F177" s="42">
        <v>0</v>
      </c>
      <c r="G177" s="40">
        <v>178</v>
      </c>
      <c r="H177" s="37">
        <v>5.8</v>
      </c>
      <c r="I177" s="43"/>
      <c r="J177" s="42">
        <v>0</v>
      </c>
    </row>
    <row r="178" spans="1:10" x14ac:dyDescent="0.35">
      <c r="A178" s="40" t="s">
        <v>159</v>
      </c>
      <c r="B178" s="41">
        <v>2.8</v>
      </c>
      <c r="C178" s="42">
        <v>2.627773861664782E-6</v>
      </c>
      <c r="D178" s="40">
        <v>177</v>
      </c>
      <c r="E178" s="40">
        <v>92</v>
      </c>
      <c r="F178" s="42">
        <v>0</v>
      </c>
      <c r="G178" s="40">
        <v>180</v>
      </c>
      <c r="H178" s="37">
        <v>0.4</v>
      </c>
      <c r="I178" s="43">
        <v>4251</v>
      </c>
      <c r="J178" s="42">
        <v>0</v>
      </c>
    </row>
    <row r="179" spans="1:10" x14ac:dyDescent="0.35">
      <c r="A179" s="40" t="s">
        <v>153</v>
      </c>
      <c r="B179" s="41">
        <v>2.6</v>
      </c>
      <c r="C179" s="42">
        <v>2.4400757286887265E-6</v>
      </c>
      <c r="D179" s="40">
        <v>178</v>
      </c>
      <c r="E179" s="40">
        <v>132</v>
      </c>
      <c r="F179" s="42">
        <v>0</v>
      </c>
      <c r="G179" s="40">
        <v>177</v>
      </c>
      <c r="H179" s="37">
        <v>1.3</v>
      </c>
      <c r="I179" s="43">
        <v>5382</v>
      </c>
      <c r="J179" s="42">
        <v>0</v>
      </c>
    </row>
    <row r="180" spans="1:10" x14ac:dyDescent="0.35">
      <c r="A180" s="40" t="s">
        <v>239</v>
      </c>
      <c r="B180" s="41">
        <v>2.2000000000000002</v>
      </c>
      <c r="C180" s="42">
        <v>2.0646794627366147E-6</v>
      </c>
      <c r="D180" s="40">
        <v>179</v>
      </c>
      <c r="E180" s="40">
        <v>117</v>
      </c>
      <c r="F180" s="42">
        <v>0</v>
      </c>
      <c r="G180" s="40">
        <v>179</v>
      </c>
      <c r="H180" s="37">
        <v>1.7</v>
      </c>
      <c r="I180" s="43">
        <v>10133</v>
      </c>
      <c r="J180" s="42">
        <v>0</v>
      </c>
    </row>
    <row r="181" spans="1:10" x14ac:dyDescent="0.35">
      <c r="A181" s="40" t="s">
        <v>230</v>
      </c>
      <c r="B181" s="41">
        <v>2</v>
      </c>
      <c r="C181" s="42">
        <v>1.8769813297605588E-6</v>
      </c>
      <c r="D181" s="40">
        <v>180</v>
      </c>
      <c r="E181" s="40">
        <v>88</v>
      </c>
      <c r="F181" s="42">
        <v>0</v>
      </c>
      <c r="G181" s="40">
        <v>181</v>
      </c>
      <c r="H181" s="37">
        <v>0.1</v>
      </c>
      <c r="I181" s="43">
        <v>1157</v>
      </c>
      <c r="J181" s="42">
        <v>0</v>
      </c>
    </row>
    <row r="182" spans="1:10" x14ac:dyDescent="0.35">
      <c r="A182" s="40" t="s">
        <v>399</v>
      </c>
      <c r="B182" s="41">
        <v>2</v>
      </c>
      <c r="C182" s="42">
        <v>1.8769813297605588E-6</v>
      </c>
      <c r="D182" s="40">
        <v>181</v>
      </c>
      <c r="E182" s="40">
        <v>136</v>
      </c>
      <c r="F182" s="42">
        <v>0</v>
      </c>
      <c r="G182" s="40">
        <v>176</v>
      </c>
      <c r="H182" s="37">
        <v>2.7</v>
      </c>
      <c r="I182" s="43">
        <v>13826</v>
      </c>
      <c r="J182" s="42">
        <v>0</v>
      </c>
    </row>
    <row r="183" spans="1:10" x14ac:dyDescent="0.35">
      <c r="A183" s="40" t="s">
        <v>269</v>
      </c>
      <c r="B183" s="41">
        <v>1.1000000000000001</v>
      </c>
      <c r="C183" s="42">
        <v>1.0323397313683074E-6</v>
      </c>
      <c r="D183" s="40">
        <v>182</v>
      </c>
      <c r="E183" s="40">
        <v>29</v>
      </c>
      <c r="F183" s="42">
        <v>0</v>
      </c>
      <c r="G183" s="40">
        <v>183</v>
      </c>
      <c r="H183" s="37">
        <v>0.3</v>
      </c>
      <c r="I183" s="43">
        <v>6122</v>
      </c>
      <c r="J183" s="42">
        <v>0</v>
      </c>
    </row>
    <row r="184" spans="1:10" x14ac:dyDescent="0.35">
      <c r="A184" s="40" t="s">
        <v>400</v>
      </c>
      <c r="B184" s="41">
        <v>0.9</v>
      </c>
      <c r="C184" s="42">
        <v>8.4464159839225148E-7</v>
      </c>
      <c r="D184" s="40">
        <v>183</v>
      </c>
      <c r="E184" s="40">
        <v>66</v>
      </c>
      <c r="F184" s="42">
        <v>0</v>
      </c>
      <c r="G184" s="40">
        <v>182</v>
      </c>
      <c r="H184" s="37">
        <v>4.8</v>
      </c>
      <c r="I184" s="48"/>
      <c r="J184" s="42">
        <v>0</v>
      </c>
    </row>
    <row r="185" spans="1:10" x14ac:dyDescent="0.35">
      <c r="A185" s="40" t="s">
        <v>401</v>
      </c>
      <c r="B185" s="41">
        <v>0.1</v>
      </c>
      <c r="C185" s="42">
        <v>9.3849066488027942E-8</v>
      </c>
      <c r="D185" s="40">
        <v>184</v>
      </c>
      <c r="E185" s="40">
        <v>4</v>
      </c>
      <c r="F185" s="42">
        <v>0</v>
      </c>
      <c r="G185" s="40">
        <v>184</v>
      </c>
      <c r="H185" s="37">
        <v>2.2999999999999998</v>
      </c>
      <c r="I185" s="43"/>
      <c r="J185" s="42">
        <v>0</v>
      </c>
    </row>
    <row r="186" spans="1:10" ht="139.5" x14ac:dyDescent="0.35">
      <c r="B186" s="49" t="s">
        <v>402</v>
      </c>
      <c r="E186" s="49" t="s">
        <v>403</v>
      </c>
      <c r="I186" s="50" t="s">
        <v>404</v>
      </c>
    </row>
  </sheetData>
  <phoneticPr fontId="23" type="noConversion"/>
  <hyperlinks>
    <hyperlink ref="I186" display="http://imf.org/external/pubs/ft/weo/2009/02/weodata/weorept.aspx?pr.x=26&amp;pr.y=15&amp;sy=2008&amp;ey=2008&amp;scsm=1&amp;ssd=1&amp;sort=country&amp;ds=.&amp;br=1&amp;c=512%2C941%2C914%2C446%2C612%2C666%2C614%2C668%2C311%2C672%2C213%2C946%2C911%2C137%2C193%2C962%2C122%2C674%2C912%2C676%2C"/>
    <hyperlink ref="E186" r:id="rId1"/>
    <hyperlink ref="B186"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Y31"/>
  <sheetViews>
    <sheetView workbookViewId="0">
      <selection activeCell="B9" sqref="B9"/>
    </sheetView>
  </sheetViews>
  <sheetFormatPr defaultColWidth="8.9140625" defaultRowHeight="15.5" x14ac:dyDescent="0.35"/>
  <cols>
    <col min="1" max="1" width="14.9140625" customWidth="1"/>
    <col min="2" max="3" width="17.58203125" customWidth="1"/>
    <col min="4" max="4" width="22.08203125" customWidth="1"/>
    <col min="5" max="6" width="8.9140625" customWidth="1"/>
    <col min="7" max="7" width="7.58203125" customWidth="1"/>
    <col min="8" max="8" width="6.5" customWidth="1"/>
  </cols>
  <sheetData>
    <row r="1" spans="1:77" ht="35.5" x14ac:dyDescent="0.75">
      <c r="A1" s="20" t="s">
        <v>30</v>
      </c>
      <c r="B1" s="20">
        <v>0.12</v>
      </c>
      <c r="C1" s="20" t="s">
        <v>35</v>
      </c>
      <c r="D1" s="20">
        <v>0.1</v>
      </c>
      <c r="E1" s="19"/>
      <c r="F1" s="19"/>
      <c r="G1" s="23">
        <f>+SUM(G4:R4)</f>
        <v>11.255077473484629</v>
      </c>
      <c r="H1" s="23" t="s">
        <v>25</v>
      </c>
    </row>
    <row r="2" spans="1:77" ht="35.5" x14ac:dyDescent="0.75">
      <c r="A2" s="20" t="s">
        <v>31</v>
      </c>
      <c r="B2" s="20"/>
      <c r="C2" s="20">
        <v>75</v>
      </c>
      <c r="D2" s="20" t="s">
        <v>33</v>
      </c>
      <c r="E2" s="19"/>
      <c r="F2" s="19"/>
      <c r="G2" s="23">
        <f>SUM(S4:S16)</f>
        <v>56.648452763402311</v>
      </c>
      <c r="H2" s="23" t="s">
        <v>27</v>
      </c>
    </row>
    <row r="3" spans="1:77" ht="35.5" x14ac:dyDescent="0.75">
      <c r="A3" s="20" t="s">
        <v>34</v>
      </c>
      <c r="B3" s="20"/>
      <c r="C3" s="21">
        <f>+C2/1000*D1</f>
        <v>7.4999999999999997E-3</v>
      </c>
      <c r="D3" s="20">
        <v>100</v>
      </c>
      <c r="F3" t="s">
        <v>80</v>
      </c>
      <c r="G3" s="24">
        <v>1</v>
      </c>
      <c r="H3" s="24">
        <v>2</v>
      </c>
      <c r="I3" s="24">
        <v>3</v>
      </c>
      <c r="J3">
        <v>4</v>
      </c>
      <c r="K3">
        <v>5</v>
      </c>
      <c r="L3">
        <v>6</v>
      </c>
      <c r="M3">
        <v>7</v>
      </c>
      <c r="N3">
        <v>8</v>
      </c>
      <c r="O3">
        <v>9</v>
      </c>
      <c r="P3">
        <v>10</v>
      </c>
      <c r="Q3">
        <v>11</v>
      </c>
      <c r="R3">
        <v>12</v>
      </c>
      <c r="S3" t="s">
        <v>53</v>
      </c>
    </row>
    <row r="4" spans="1:77" ht="35.5" x14ac:dyDescent="0.75">
      <c r="A4" s="20" t="s">
        <v>39</v>
      </c>
      <c r="B4" s="20">
        <v>1.4</v>
      </c>
      <c r="C4" s="20">
        <v>12</v>
      </c>
      <c r="D4" s="20" t="s">
        <v>32</v>
      </c>
      <c r="E4" s="27" t="s">
        <v>26</v>
      </c>
      <c r="F4" s="28" t="s">
        <v>28</v>
      </c>
      <c r="G4" s="23">
        <f>+(1/(1+$B$1/12))^G3</f>
        <v>0.99009900990099009</v>
      </c>
      <c r="H4" s="23">
        <f t="shared" ref="H4:R4" si="0">+(1/(1+$B$1/12))^H3</f>
        <v>0.98029604940692083</v>
      </c>
      <c r="I4" s="23">
        <f t="shared" si="0"/>
        <v>0.97059014792764442</v>
      </c>
      <c r="J4" s="22">
        <f t="shared" si="0"/>
        <v>0.96098034448281622</v>
      </c>
      <c r="K4" s="22">
        <f t="shared" si="0"/>
        <v>0.95146568760674877</v>
      </c>
      <c r="L4" s="22">
        <f t="shared" si="0"/>
        <v>0.94204523525420658</v>
      </c>
      <c r="M4" s="22">
        <f t="shared" si="0"/>
        <v>0.93271805470713531</v>
      </c>
      <c r="N4" s="22">
        <f t="shared" si="0"/>
        <v>0.92348322248231207</v>
      </c>
      <c r="O4" s="22">
        <f t="shared" si="0"/>
        <v>0.91433982423991289</v>
      </c>
      <c r="P4" s="22">
        <f t="shared" si="0"/>
        <v>0.90528695469298304</v>
      </c>
      <c r="Q4" s="22">
        <f t="shared" si="0"/>
        <v>0.89632371751780504</v>
      </c>
      <c r="R4" s="22">
        <f t="shared" si="0"/>
        <v>0.88744922526515346</v>
      </c>
      <c r="S4" s="22">
        <f>SUM(G4:R4)</f>
        <v>11.255077473484629</v>
      </c>
    </row>
    <row r="5" spans="1:77" ht="35.5" x14ac:dyDescent="0.75">
      <c r="A5" s="20" t="s">
        <v>36</v>
      </c>
      <c r="B5" s="25">
        <f>B4/D3/G1</f>
        <v>1.243883041496784E-3</v>
      </c>
      <c r="C5" s="20" t="s">
        <v>41</v>
      </c>
      <c r="D5" s="21">
        <f>+C3+B5</f>
        <v>8.7438830414967843E-3</v>
      </c>
      <c r="E5">
        <f>B5/D5</f>
        <v>0.1422575114046648</v>
      </c>
      <c r="F5" t="s">
        <v>80</v>
      </c>
      <c r="G5">
        <f>+R3+1</f>
        <v>13</v>
      </c>
      <c r="H5">
        <f t="shared" ref="H5:R5" si="1">+G5+1</f>
        <v>14</v>
      </c>
      <c r="I5">
        <f t="shared" si="1"/>
        <v>15</v>
      </c>
      <c r="J5">
        <f t="shared" si="1"/>
        <v>16</v>
      </c>
      <c r="K5">
        <f t="shared" si="1"/>
        <v>17</v>
      </c>
      <c r="L5">
        <f t="shared" si="1"/>
        <v>18</v>
      </c>
      <c r="M5">
        <f t="shared" si="1"/>
        <v>19</v>
      </c>
      <c r="N5">
        <f t="shared" si="1"/>
        <v>20</v>
      </c>
      <c r="O5">
        <f t="shared" si="1"/>
        <v>21</v>
      </c>
      <c r="P5">
        <f t="shared" si="1"/>
        <v>22</v>
      </c>
      <c r="Q5">
        <f t="shared" si="1"/>
        <v>23</v>
      </c>
      <c r="R5">
        <f t="shared" si="1"/>
        <v>24</v>
      </c>
      <c r="S5" s="22"/>
    </row>
    <row r="6" spans="1:77" ht="35.5" x14ac:dyDescent="0.75">
      <c r="A6" s="20" t="s">
        <v>37</v>
      </c>
      <c r="B6" s="26"/>
      <c r="C6" s="20">
        <v>20</v>
      </c>
      <c r="D6" s="20"/>
      <c r="F6" s="28" t="s">
        <v>28</v>
      </c>
      <c r="G6" s="22">
        <f t="shared" ref="G6:R6" si="2">+(1/(1+$B$1/12))^G5</f>
        <v>0.87866259927242918</v>
      </c>
      <c r="H6" s="22">
        <f t="shared" si="2"/>
        <v>0.86996296957666253</v>
      </c>
      <c r="I6" s="22">
        <f t="shared" si="2"/>
        <v>0.86134947482837876</v>
      </c>
      <c r="J6" s="22">
        <f t="shared" si="2"/>
        <v>0.85282126220631549</v>
      </c>
      <c r="K6" s="22">
        <f t="shared" si="2"/>
        <v>0.84437748733298568</v>
      </c>
      <c r="L6" s="22">
        <f t="shared" si="2"/>
        <v>0.83601731419107483</v>
      </c>
      <c r="M6" s="22">
        <f t="shared" si="2"/>
        <v>0.82773991504066813</v>
      </c>
      <c r="N6" s="22">
        <f t="shared" si="2"/>
        <v>0.81954447033729516</v>
      </c>
      <c r="O6" s="22">
        <f t="shared" si="2"/>
        <v>0.81143016865078732</v>
      </c>
      <c r="P6" s="22">
        <f t="shared" si="2"/>
        <v>0.80339620658493782</v>
      </c>
      <c r="Q6" s="22">
        <f t="shared" si="2"/>
        <v>0.79544178869795834</v>
      </c>
      <c r="R6" s="22">
        <f t="shared" si="2"/>
        <v>0.78756612742372101</v>
      </c>
      <c r="S6" s="22">
        <f t="shared" ref="S6:S16" si="3">SUM(G6:R6)</f>
        <v>9.9883097841432154</v>
      </c>
      <c r="T6" s="22"/>
      <c r="U6" s="22"/>
      <c r="V6" s="22"/>
      <c r="W6" s="22"/>
      <c r="X6" s="22"/>
      <c r="Y6" s="22"/>
    </row>
    <row r="7" spans="1:77" ht="35.5" x14ac:dyDescent="0.75">
      <c r="A7" s="20" t="s">
        <v>34</v>
      </c>
      <c r="B7" s="26"/>
      <c r="C7" s="25">
        <f>D1*20/1000</f>
        <v>2E-3</v>
      </c>
      <c r="D7" s="20"/>
      <c r="F7" t="s">
        <v>80</v>
      </c>
      <c r="G7">
        <f>+R5+1</f>
        <v>25</v>
      </c>
      <c r="H7">
        <f t="shared" ref="H7:R7" si="4">+G7+1</f>
        <v>26</v>
      </c>
      <c r="I7">
        <f t="shared" si="4"/>
        <v>27</v>
      </c>
      <c r="J7">
        <f t="shared" si="4"/>
        <v>28</v>
      </c>
      <c r="K7">
        <f t="shared" si="4"/>
        <v>29</v>
      </c>
      <c r="L7">
        <f t="shared" si="4"/>
        <v>30</v>
      </c>
      <c r="M7">
        <f t="shared" si="4"/>
        <v>31</v>
      </c>
      <c r="N7">
        <f t="shared" si="4"/>
        <v>32</v>
      </c>
      <c r="O7">
        <f t="shared" si="4"/>
        <v>33</v>
      </c>
      <c r="P7">
        <f t="shared" si="4"/>
        <v>34</v>
      </c>
      <c r="Q7">
        <f t="shared" si="4"/>
        <v>35</v>
      </c>
      <c r="R7">
        <f t="shared" si="4"/>
        <v>36</v>
      </c>
      <c r="S7" s="22"/>
    </row>
    <row r="8" spans="1:77" ht="35.5" x14ac:dyDescent="0.75">
      <c r="A8" s="20" t="s">
        <v>40</v>
      </c>
      <c r="B8" s="26">
        <v>12</v>
      </c>
      <c r="C8" s="20">
        <v>84</v>
      </c>
      <c r="D8" s="20"/>
      <c r="F8" s="28" t="s">
        <v>28</v>
      </c>
      <c r="G8" s="22">
        <f t="shared" ref="G8:R8" si="5">+(1/(1+$B$1/12))^G7</f>
        <v>0.77976844299378312</v>
      </c>
      <c r="H8" s="22">
        <f t="shared" si="5"/>
        <v>0.77204796336018133</v>
      </c>
      <c r="I8" s="22">
        <f t="shared" si="5"/>
        <v>0.7644039241189915</v>
      </c>
      <c r="J8" s="22">
        <f t="shared" si="5"/>
        <v>0.75683556843464495</v>
      </c>
      <c r="K8" s="22">
        <f t="shared" si="5"/>
        <v>0.74934214696499502</v>
      </c>
      <c r="L8" s="22">
        <f t="shared" si="5"/>
        <v>0.74192291778712383</v>
      </c>
      <c r="M8" s="22">
        <f t="shared" si="5"/>
        <v>0.73457714632388493</v>
      </c>
      <c r="N8" s="22">
        <f t="shared" si="5"/>
        <v>0.72730410527117306</v>
      </c>
      <c r="O8" s="22">
        <f t="shared" si="5"/>
        <v>0.72010307452591393</v>
      </c>
      <c r="P8" s="22">
        <f t="shared" si="5"/>
        <v>0.71297334111476618</v>
      </c>
      <c r="Q8" s="22">
        <f t="shared" si="5"/>
        <v>0.70591419912353093</v>
      </c>
      <c r="R8" s="22">
        <f t="shared" si="5"/>
        <v>0.69892494962725837</v>
      </c>
      <c r="S8" s="22">
        <f t="shared" si="3"/>
        <v>8.8641177796462483</v>
      </c>
    </row>
    <row r="9" spans="1:77" ht="35.5" x14ac:dyDescent="0.75">
      <c r="A9" s="20" t="s">
        <v>38</v>
      </c>
      <c r="B9" s="25">
        <f>(B8/D3)/G2</f>
        <v>2.1183279356488602E-3</v>
      </c>
      <c r="C9" s="20" t="s">
        <v>41</v>
      </c>
      <c r="D9" s="21">
        <f>+B9 +C7</f>
        <v>4.1183279356488602E-3</v>
      </c>
      <c r="E9">
        <f>B9/D9</f>
        <v>0.51436601668174553</v>
      </c>
      <c r="F9" t="s">
        <v>80</v>
      </c>
      <c r="G9">
        <f>+R7+1</f>
        <v>37</v>
      </c>
      <c r="H9">
        <f t="shared" ref="H9:R9" si="6">+G9+1</f>
        <v>38</v>
      </c>
      <c r="I9">
        <f t="shared" si="6"/>
        <v>39</v>
      </c>
      <c r="J9">
        <f t="shared" si="6"/>
        <v>40</v>
      </c>
      <c r="K9">
        <f t="shared" si="6"/>
        <v>41</v>
      </c>
      <c r="L9">
        <f t="shared" si="6"/>
        <v>42</v>
      </c>
      <c r="M9">
        <f t="shared" si="6"/>
        <v>43</v>
      </c>
      <c r="N9">
        <f t="shared" si="6"/>
        <v>44</v>
      </c>
      <c r="O9">
        <f t="shared" si="6"/>
        <v>45</v>
      </c>
      <c r="P9">
        <f t="shared" si="6"/>
        <v>46</v>
      </c>
      <c r="Q9">
        <f t="shared" si="6"/>
        <v>47</v>
      </c>
      <c r="R9">
        <f t="shared" si="6"/>
        <v>48</v>
      </c>
      <c r="S9" s="22"/>
    </row>
    <row r="10" spans="1:77" ht="35.5" x14ac:dyDescent="0.75">
      <c r="A10" s="20"/>
      <c r="B10" s="20"/>
      <c r="C10" s="20"/>
      <c r="D10" s="20"/>
      <c r="F10" s="28" t="s">
        <v>28</v>
      </c>
      <c r="G10" s="22">
        <f t="shared" ref="G10:R10" si="7">+(1/(1+$B$1/12))^G9</f>
        <v>0.69200490062104791</v>
      </c>
      <c r="H10" s="22">
        <f t="shared" si="7"/>
        <v>0.68515336695153251</v>
      </c>
      <c r="I10" s="22">
        <f t="shared" si="7"/>
        <v>0.67836967024904204</v>
      </c>
      <c r="J10" s="22">
        <f t="shared" si="7"/>
        <v>0.67165313886043765</v>
      </c>
      <c r="K10" s="22">
        <f t="shared" si="7"/>
        <v>0.66500310778261151</v>
      </c>
      <c r="L10" s="22">
        <f t="shared" si="7"/>
        <v>0.65841891859664503</v>
      </c>
      <c r="M10" s="22">
        <f t="shared" si="7"/>
        <v>0.65189991940261882</v>
      </c>
      <c r="N10" s="22">
        <f t="shared" si="7"/>
        <v>0.64544546475506814</v>
      </c>
      <c r="O10" s="22">
        <f t="shared" si="7"/>
        <v>0.63905491559907734</v>
      </c>
      <c r="P10" s="22">
        <f t="shared" si="7"/>
        <v>0.63272763920700725</v>
      </c>
      <c r="Q10" s="22">
        <f t="shared" si="7"/>
        <v>0.62646300911584885</v>
      </c>
      <c r="R10" s="22">
        <f t="shared" si="7"/>
        <v>0.62026040506519675</v>
      </c>
      <c r="S10" s="22">
        <f t="shared" si="3"/>
        <v>7.8664544562061343</v>
      </c>
    </row>
    <row r="11" spans="1:77" ht="35.5" x14ac:dyDescent="0.75">
      <c r="A11" s="20" t="s">
        <v>42</v>
      </c>
      <c r="B11" s="20"/>
      <c r="C11" s="20"/>
      <c r="D11" s="20"/>
      <c r="F11" t="s">
        <v>80</v>
      </c>
      <c r="G11">
        <f>+R9+1</f>
        <v>49</v>
      </c>
      <c r="H11">
        <f t="shared" ref="H11:R11" si="8">+G11+1</f>
        <v>50</v>
      </c>
      <c r="I11">
        <f t="shared" si="8"/>
        <v>51</v>
      </c>
      <c r="J11">
        <f t="shared" si="8"/>
        <v>52</v>
      </c>
      <c r="K11">
        <f t="shared" si="8"/>
        <v>53</v>
      </c>
      <c r="L11">
        <f t="shared" si="8"/>
        <v>54</v>
      </c>
      <c r="M11">
        <f t="shared" si="8"/>
        <v>55</v>
      </c>
      <c r="N11">
        <f t="shared" si="8"/>
        <v>56</v>
      </c>
      <c r="O11">
        <f t="shared" si="8"/>
        <v>57</v>
      </c>
      <c r="P11">
        <f t="shared" si="8"/>
        <v>58</v>
      </c>
      <c r="Q11">
        <f t="shared" si="8"/>
        <v>59</v>
      </c>
      <c r="R11">
        <f t="shared" si="8"/>
        <v>60</v>
      </c>
      <c r="S11" s="22"/>
    </row>
    <row r="12" spans="1:77" ht="35.5" x14ac:dyDescent="0.75">
      <c r="A12" s="20" t="s">
        <v>43</v>
      </c>
      <c r="B12" s="20">
        <f>1.4+SUM(E12:CL12)</f>
        <v>17.685046374187682</v>
      </c>
      <c r="C12" s="20"/>
      <c r="D12" s="20"/>
      <c r="E12" s="19"/>
      <c r="F12" s="28" t="s">
        <v>28</v>
      </c>
      <c r="G12" s="22">
        <f t="shared" ref="G12:R12" si="9">+(1/(1+$B$1/12))^G11</f>
        <v>0.61411921293583838</v>
      </c>
      <c r="H12" s="22">
        <f t="shared" si="9"/>
        <v>0.60803882468894888</v>
      </c>
      <c r="I12" s="22">
        <f t="shared" si="9"/>
        <v>0.60201863830588997</v>
      </c>
      <c r="J12" s="22">
        <f t="shared" si="9"/>
        <v>0.59605805772860387</v>
      </c>
      <c r="K12" s="22">
        <f t="shared" si="9"/>
        <v>0.5901564928005979</v>
      </c>
      <c r="L12" s="22">
        <f t="shared" si="9"/>
        <v>0.58431335920851268</v>
      </c>
      <c r="M12" s="22">
        <f t="shared" si="9"/>
        <v>0.57852807842427012</v>
      </c>
      <c r="N12" s="22">
        <f t="shared" si="9"/>
        <v>0.57280007764779206</v>
      </c>
      <c r="O12" s="22">
        <f t="shared" si="9"/>
        <v>0.56712878975028913</v>
      </c>
      <c r="P12" s="22">
        <f t="shared" si="9"/>
        <v>0.56151365321810809</v>
      </c>
      <c r="Q12" s="22">
        <f t="shared" si="9"/>
        <v>0.55595411209713674</v>
      </c>
      <c r="R12" s="22">
        <f t="shared" si="9"/>
        <v>0.5504496159377591</v>
      </c>
      <c r="S12" s="22">
        <f t="shared" si="3"/>
        <v>6.9810789127437474</v>
      </c>
      <c r="BA12">
        <f>1.4*R10</f>
        <v>0.86836456709127541</v>
      </c>
      <c r="BM12">
        <f>1.4*R12</f>
        <v>0.77062946231286267</v>
      </c>
      <c r="BY12">
        <f>1.4*R14</f>
        <v>0.68389451929605183</v>
      </c>
    </row>
    <row r="13" spans="1:77" ht="35.5" x14ac:dyDescent="0.75">
      <c r="A13" s="20" t="s">
        <v>38</v>
      </c>
      <c r="B13" s="20">
        <f>B12/D3/SUM(G4:CL4)</f>
        <v>7.8564747403343741E-3</v>
      </c>
      <c r="C13" s="20" t="s">
        <v>41</v>
      </c>
      <c r="D13" s="20">
        <f>+C3+B13</f>
        <v>1.5356474740334374E-2</v>
      </c>
      <c r="E13" s="19"/>
      <c r="F13" t="s">
        <v>80</v>
      </c>
      <c r="G13">
        <f>+R11+1</f>
        <v>61</v>
      </c>
      <c r="H13">
        <f t="shared" ref="H13:R13" si="10">+G13+1</f>
        <v>62</v>
      </c>
      <c r="I13">
        <f t="shared" si="10"/>
        <v>63</v>
      </c>
      <c r="J13">
        <f t="shared" si="10"/>
        <v>64</v>
      </c>
      <c r="K13">
        <f t="shared" si="10"/>
        <v>65</v>
      </c>
      <c r="L13">
        <f t="shared" si="10"/>
        <v>66</v>
      </c>
      <c r="M13">
        <f t="shared" si="10"/>
        <v>67</v>
      </c>
      <c r="N13">
        <f t="shared" si="10"/>
        <v>68</v>
      </c>
      <c r="O13">
        <f t="shared" si="10"/>
        <v>69</v>
      </c>
      <c r="P13">
        <f t="shared" si="10"/>
        <v>70</v>
      </c>
      <c r="Q13">
        <f t="shared" si="10"/>
        <v>71</v>
      </c>
      <c r="R13">
        <f t="shared" si="10"/>
        <v>72</v>
      </c>
      <c r="S13" s="22"/>
    </row>
    <row r="14" spans="1:77" ht="18.5" x14ac:dyDescent="0.35">
      <c r="F14" s="28" t="s">
        <v>28</v>
      </c>
      <c r="G14" s="22">
        <f t="shared" ref="G14:R14" si="11">+(1/(1+$B$1/12))^G13</f>
        <v>0.5449996197403556</v>
      </c>
      <c r="H14" s="22">
        <f t="shared" si="11"/>
        <v>0.53960358390134222</v>
      </c>
      <c r="I14" s="22">
        <f t="shared" si="11"/>
        <v>0.53426097415974472</v>
      </c>
      <c r="J14" s="22">
        <f t="shared" si="11"/>
        <v>0.52897126154430163</v>
      </c>
      <c r="K14" s="22">
        <f t="shared" si="11"/>
        <v>0.52373392232109073</v>
      </c>
      <c r="L14" s="22">
        <f t="shared" si="11"/>
        <v>0.51854843794167393</v>
      </c>
      <c r="M14" s="22">
        <f t="shared" si="11"/>
        <v>0.51341429499175639</v>
      </c>
      <c r="N14" s="22">
        <f t="shared" si="11"/>
        <v>0.50833098514035291</v>
      </c>
      <c r="O14" s="22">
        <f t="shared" si="11"/>
        <v>0.50329800508945832</v>
      </c>
      <c r="P14" s="22">
        <f t="shared" si="11"/>
        <v>0.49831485652421609</v>
      </c>
      <c r="Q14" s="22">
        <f t="shared" si="11"/>
        <v>0.4933810460635803</v>
      </c>
      <c r="R14" s="22">
        <f t="shared" si="11"/>
        <v>0.48849608521146559</v>
      </c>
      <c r="S14" s="22">
        <f t="shared" si="3"/>
        <v>6.195353072629338</v>
      </c>
    </row>
    <row r="15" spans="1:77" x14ac:dyDescent="0.35">
      <c r="F15" t="s">
        <v>80</v>
      </c>
      <c r="G15">
        <f>+R13+1</f>
        <v>73</v>
      </c>
      <c r="H15">
        <f t="shared" ref="H15:R15" si="12">+G15+1</f>
        <v>74</v>
      </c>
      <c r="I15">
        <f t="shared" si="12"/>
        <v>75</v>
      </c>
      <c r="J15">
        <f t="shared" si="12"/>
        <v>76</v>
      </c>
      <c r="K15">
        <f t="shared" si="12"/>
        <v>77</v>
      </c>
      <c r="L15">
        <f t="shared" si="12"/>
        <v>78</v>
      </c>
      <c r="M15">
        <f t="shared" si="12"/>
        <v>79</v>
      </c>
      <c r="N15">
        <f t="shared" si="12"/>
        <v>80</v>
      </c>
      <c r="O15">
        <f t="shared" si="12"/>
        <v>81</v>
      </c>
      <c r="P15">
        <f t="shared" si="12"/>
        <v>82</v>
      </c>
      <c r="Q15">
        <f t="shared" si="12"/>
        <v>83</v>
      </c>
      <c r="R15">
        <f t="shared" si="12"/>
        <v>84</v>
      </c>
      <c r="S15" s="22"/>
    </row>
    <row r="16" spans="1:77" ht="18.5" x14ac:dyDescent="0.35">
      <c r="F16" s="28" t="s">
        <v>28</v>
      </c>
      <c r="G16" s="22">
        <f>+(1/(1+$B$1/12))^G15</f>
        <v>0.48365949030838173</v>
      </c>
      <c r="H16" s="22">
        <f>+(1/(1+$B$1/12))^H15</f>
        <v>0.47887078248354625</v>
      </c>
      <c r="I16" s="22">
        <f>+(1/(1+$B$1/12))^I15</f>
        <v>0.47412948760747159</v>
      </c>
      <c r="J16" s="22">
        <f>+(1/(1+$B$1/12))^J15</f>
        <v>0.46943513624502137</v>
      </c>
      <c r="K16" s="22">
        <f>+(1/(1+$B$1/12))^K15</f>
        <v>0.46478726360893202</v>
      </c>
      <c r="L16" s="22">
        <f t="shared" ref="L16:R16" si="13">+(1/(1+$B$1/12))^L15</f>
        <v>0.46018540951379405</v>
      </c>
      <c r="M16" s="22">
        <f t="shared" si="13"/>
        <v>0.45562911833048919</v>
      </c>
      <c r="N16" s="22">
        <f t="shared" si="13"/>
        <v>0.45111793894107832</v>
      </c>
      <c r="O16" s="22">
        <f t="shared" si="13"/>
        <v>0.44665142469413699</v>
      </c>
      <c r="P16" s="22">
        <f t="shared" si="13"/>
        <v>0.44222913336053166</v>
      </c>
      <c r="Q16" s="22">
        <f t="shared" si="13"/>
        <v>0.43785062708963529</v>
      </c>
      <c r="R16" s="22">
        <f t="shared" si="13"/>
        <v>0.43351547236597548</v>
      </c>
      <c r="S16" s="22">
        <f t="shared" si="3"/>
        <v>5.498061284548994</v>
      </c>
    </row>
    <row r="17" spans="7:19" x14ac:dyDescent="0.35">
      <c r="S17" s="22">
        <f>SUM(S4:S16)</f>
        <v>56.648452763402311</v>
      </c>
    </row>
    <row r="18" spans="7:19" x14ac:dyDescent="0.35">
      <c r="G18" s="24">
        <v>1</v>
      </c>
      <c r="H18" s="24">
        <v>2</v>
      </c>
      <c r="I18" s="24">
        <v>3</v>
      </c>
      <c r="J18">
        <v>4</v>
      </c>
      <c r="K18">
        <v>5</v>
      </c>
      <c r="L18">
        <v>6</v>
      </c>
      <c r="M18">
        <v>7</v>
      </c>
      <c r="N18">
        <v>8</v>
      </c>
      <c r="O18">
        <v>9</v>
      </c>
      <c r="P18">
        <v>10</v>
      </c>
      <c r="Q18">
        <v>11</v>
      </c>
      <c r="R18">
        <v>12</v>
      </c>
    </row>
    <row r="19" spans="7:19" x14ac:dyDescent="0.35">
      <c r="G19" s="23">
        <f t="shared" ref="G19:R19" si="14">+(1/(1+$B$1/12))^G18</f>
        <v>0.99009900990099009</v>
      </c>
      <c r="H19" s="23">
        <f t="shared" si="14"/>
        <v>0.98029604940692083</v>
      </c>
      <c r="I19" s="23">
        <f t="shared" si="14"/>
        <v>0.97059014792764442</v>
      </c>
      <c r="J19">
        <f t="shared" si="14"/>
        <v>0.96098034448281622</v>
      </c>
      <c r="K19">
        <f t="shared" si="14"/>
        <v>0.95146568760674877</v>
      </c>
      <c r="L19">
        <f t="shared" si="14"/>
        <v>0.94204523525420658</v>
      </c>
      <c r="M19">
        <f t="shared" si="14"/>
        <v>0.93271805470713531</v>
      </c>
      <c r="N19">
        <f t="shared" si="14"/>
        <v>0.92348322248231207</v>
      </c>
      <c r="O19">
        <f t="shared" si="14"/>
        <v>0.91433982423991289</v>
      </c>
      <c r="P19">
        <f t="shared" si="14"/>
        <v>0.90528695469298304</v>
      </c>
      <c r="Q19">
        <f t="shared" si="14"/>
        <v>0.89632371751780504</v>
      </c>
      <c r="R19">
        <f t="shared" si="14"/>
        <v>0.88744922526515346</v>
      </c>
      <c r="S19" s="22">
        <f>SUM(G19:R19)</f>
        <v>11.255077473484629</v>
      </c>
    </row>
    <row r="20" spans="7:19" x14ac:dyDescent="0.35">
      <c r="G20">
        <f>+R18+1</f>
        <v>13</v>
      </c>
      <c r="H20">
        <f t="shared" ref="H20:R20" si="15">+G20+1</f>
        <v>14</v>
      </c>
      <c r="I20">
        <f t="shared" si="15"/>
        <v>15</v>
      </c>
      <c r="J20">
        <f t="shared" si="15"/>
        <v>16</v>
      </c>
      <c r="K20">
        <f t="shared" si="15"/>
        <v>17</v>
      </c>
      <c r="L20">
        <f t="shared" si="15"/>
        <v>18</v>
      </c>
      <c r="M20">
        <f t="shared" si="15"/>
        <v>19</v>
      </c>
      <c r="N20">
        <f t="shared" si="15"/>
        <v>20</v>
      </c>
      <c r="O20">
        <f t="shared" si="15"/>
        <v>21</v>
      </c>
      <c r="P20">
        <f t="shared" si="15"/>
        <v>22</v>
      </c>
      <c r="Q20">
        <f t="shared" si="15"/>
        <v>23</v>
      </c>
      <c r="R20">
        <f t="shared" si="15"/>
        <v>24</v>
      </c>
      <c r="S20" s="22"/>
    </row>
    <row r="21" spans="7:19" x14ac:dyDescent="0.35">
      <c r="G21">
        <f t="shared" ref="G21:R21" si="16">+(1/(1+$B$1/12))^G20</f>
        <v>0.87866259927242918</v>
      </c>
      <c r="H21">
        <f t="shared" si="16"/>
        <v>0.86996296957666253</v>
      </c>
      <c r="I21">
        <f t="shared" si="16"/>
        <v>0.86134947482837876</v>
      </c>
      <c r="J21">
        <f t="shared" si="16"/>
        <v>0.85282126220631549</v>
      </c>
      <c r="K21">
        <f t="shared" si="16"/>
        <v>0.84437748733298568</v>
      </c>
      <c r="L21">
        <f t="shared" si="16"/>
        <v>0.83601731419107483</v>
      </c>
      <c r="M21">
        <f t="shared" si="16"/>
        <v>0.82773991504066813</v>
      </c>
      <c r="N21">
        <f t="shared" si="16"/>
        <v>0.81954447033729516</v>
      </c>
      <c r="O21">
        <f t="shared" si="16"/>
        <v>0.81143016865078732</v>
      </c>
      <c r="P21">
        <f t="shared" si="16"/>
        <v>0.80339620658493782</v>
      </c>
      <c r="Q21">
        <f t="shared" si="16"/>
        <v>0.79544178869795834</v>
      </c>
      <c r="R21">
        <f t="shared" si="16"/>
        <v>0.78756612742372101</v>
      </c>
      <c r="S21" s="22">
        <f>SUM(G21:R21)</f>
        <v>9.9883097841432154</v>
      </c>
    </row>
    <row r="22" spans="7:19" x14ac:dyDescent="0.35">
      <c r="G22">
        <f>+R20+1</f>
        <v>25</v>
      </c>
      <c r="H22">
        <f t="shared" ref="H22:R22" si="17">+G22+1</f>
        <v>26</v>
      </c>
      <c r="I22">
        <f t="shared" si="17"/>
        <v>27</v>
      </c>
      <c r="J22">
        <f t="shared" si="17"/>
        <v>28</v>
      </c>
      <c r="K22">
        <f t="shared" si="17"/>
        <v>29</v>
      </c>
      <c r="L22">
        <f t="shared" si="17"/>
        <v>30</v>
      </c>
      <c r="M22">
        <f t="shared" si="17"/>
        <v>31</v>
      </c>
      <c r="N22">
        <f t="shared" si="17"/>
        <v>32</v>
      </c>
      <c r="O22">
        <f t="shared" si="17"/>
        <v>33</v>
      </c>
      <c r="P22">
        <f t="shared" si="17"/>
        <v>34</v>
      </c>
      <c r="Q22">
        <f t="shared" si="17"/>
        <v>35</v>
      </c>
      <c r="R22">
        <f t="shared" si="17"/>
        <v>36</v>
      </c>
      <c r="S22" s="22"/>
    </row>
    <row r="23" spans="7:19" x14ac:dyDescent="0.35">
      <c r="G23">
        <f t="shared" ref="G23:R23" si="18">+(1/(1+$B$1/12))^G22</f>
        <v>0.77976844299378312</v>
      </c>
      <c r="H23">
        <f t="shared" si="18"/>
        <v>0.77204796336018133</v>
      </c>
      <c r="I23">
        <f t="shared" si="18"/>
        <v>0.7644039241189915</v>
      </c>
      <c r="J23">
        <f t="shared" si="18"/>
        <v>0.75683556843464495</v>
      </c>
      <c r="K23">
        <f t="shared" si="18"/>
        <v>0.74934214696499502</v>
      </c>
      <c r="L23">
        <f t="shared" si="18"/>
        <v>0.74192291778712383</v>
      </c>
      <c r="M23">
        <f t="shared" si="18"/>
        <v>0.73457714632388493</v>
      </c>
      <c r="N23">
        <f t="shared" si="18"/>
        <v>0.72730410527117306</v>
      </c>
      <c r="O23">
        <f t="shared" si="18"/>
        <v>0.72010307452591393</v>
      </c>
      <c r="P23">
        <f t="shared" si="18"/>
        <v>0.71297334111476618</v>
      </c>
      <c r="Q23">
        <f t="shared" si="18"/>
        <v>0.70591419912353093</v>
      </c>
      <c r="R23">
        <f t="shared" si="18"/>
        <v>0.69892494962725837</v>
      </c>
      <c r="S23" s="22">
        <f>SUM(G23:R23)</f>
        <v>8.8641177796462483</v>
      </c>
    </row>
    <row r="24" spans="7:19" x14ac:dyDescent="0.35">
      <c r="G24">
        <f>+R22+1</f>
        <v>37</v>
      </c>
      <c r="H24">
        <f t="shared" ref="H24:R24" si="19">+G24+1</f>
        <v>38</v>
      </c>
      <c r="I24">
        <f t="shared" si="19"/>
        <v>39</v>
      </c>
      <c r="J24">
        <f t="shared" si="19"/>
        <v>40</v>
      </c>
      <c r="K24">
        <f t="shared" si="19"/>
        <v>41</v>
      </c>
      <c r="L24">
        <f t="shared" si="19"/>
        <v>42</v>
      </c>
      <c r="M24">
        <f t="shared" si="19"/>
        <v>43</v>
      </c>
      <c r="N24">
        <f t="shared" si="19"/>
        <v>44</v>
      </c>
      <c r="O24">
        <f t="shared" si="19"/>
        <v>45</v>
      </c>
      <c r="P24">
        <f t="shared" si="19"/>
        <v>46</v>
      </c>
      <c r="Q24">
        <f t="shared" si="19"/>
        <v>47</v>
      </c>
      <c r="R24">
        <f t="shared" si="19"/>
        <v>48</v>
      </c>
      <c r="S24" s="22"/>
    </row>
    <row r="25" spans="7:19" x14ac:dyDescent="0.35">
      <c r="G25">
        <f t="shared" ref="G25:R25" si="20">+(1/(1+$B$1/12))^G24</f>
        <v>0.69200490062104791</v>
      </c>
      <c r="H25">
        <f t="shared" si="20"/>
        <v>0.68515336695153251</v>
      </c>
      <c r="I25">
        <f t="shared" si="20"/>
        <v>0.67836967024904204</v>
      </c>
      <c r="J25">
        <f t="shared" si="20"/>
        <v>0.67165313886043765</v>
      </c>
      <c r="K25">
        <f t="shared" si="20"/>
        <v>0.66500310778261151</v>
      </c>
      <c r="L25">
        <f t="shared" si="20"/>
        <v>0.65841891859664503</v>
      </c>
      <c r="M25">
        <f t="shared" si="20"/>
        <v>0.65189991940261882</v>
      </c>
      <c r="N25">
        <f t="shared" si="20"/>
        <v>0.64544546475506814</v>
      </c>
      <c r="O25">
        <f t="shared" si="20"/>
        <v>0.63905491559907734</v>
      </c>
      <c r="P25">
        <f t="shared" si="20"/>
        <v>0.63272763920700725</v>
      </c>
      <c r="Q25">
        <f t="shared" si="20"/>
        <v>0.62646300911584885</v>
      </c>
      <c r="R25">
        <f t="shared" si="20"/>
        <v>0.62026040506519675</v>
      </c>
      <c r="S25" s="22">
        <f>SUM(G25:R25)</f>
        <v>7.8664544562061343</v>
      </c>
    </row>
    <row r="26" spans="7:19" x14ac:dyDescent="0.35">
      <c r="G26">
        <f>+R24+1</f>
        <v>49</v>
      </c>
      <c r="H26">
        <f t="shared" ref="H26:R26" si="21">+G26+1</f>
        <v>50</v>
      </c>
      <c r="I26">
        <f t="shared" si="21"/>
        <v>51</v>
      </c>
      <c r="J26">
        <f t="shared" si="21"/>
        <v>52</v>
      </c>
      <c r="K26">
        <f t="shared" si="21"/>
        <v>53</v>
      </c>
      <c r="L26">
        <f t="shared" si="21"/>
        <v>54</v>
      </c>
      <c r="M26">
        <f t="shared" si="21"/>
        <v>55</v>
      </c>
      <c r="N26">
        <f t="shared" si="21"/>
        <v>56</v>
      </c>
      <c r="O26">
        <f t="shared" si="21"/>
        <v>57</v>
      </c>
      <c r="P26">
        <f t="shared" si="21"/>
        <v>58</v>
      </c>
      <c r="Q26">
        <f t="shared" si="21"/>
        <v>59</v>
      </c>
      <c r="R26">
        <f t="shared" si="21"/>
        <v>60</v>
      </c>
      <c r="S26" s="22"/>
    </row>
    <row r="27" spans="7:19" x14ac:dyDescent="0.35">
      <c r="G27">
        <f t="shared" ref="G27:R27" si="22">+(1/(1+$B$1/12))^G26</f>
        <v>0.61411921293583838</v>
      </c>
      <c r="H27">
        <f t="shared" si="22"/>
        <v>0.60803882468894888</v>
      </c>
      <c r="I27">
        <f t="shared" si="22"/>
        <v>0.60201863830588997</v>
      </c>
      <c r="J27">
        <f t="shared" si="22"/>
        <v>0.59605805772860387</v>
      </c>
      <c r="K27">
        <f t="shared" si="22"/>
        <v>0.5901564928005979</v>
      </c>
      <c r="L27">
        <f t="shared" si="22"/>
        <v>0.58431335920851268</v>
      </c>
      <c r="M27">
        <f t="shared" si="22"/>
        <v>0.57852807842427012</v>
      </c>
      <c r="N27">
        <f t="shared" si="22"/>
        <v>0.57280007764779206</v>
      </c>
      <c r="O27">
        <f t="shared" si="22"/>
        <v>0.56712878975028913</v>
      </c>
      <c r="P27">
        <f t="shared" si="22"/>
        <v>0.56151365321810809</v>
      </c>
      <c r="Q27">
        <f t="shared" si="22"/>
        <v>0.55595411209713674</v>
      </c>
      <c r="R27">
        <f t="shared" si="22"/>
        <v>0.5504496159377591</v>
      </c>
      <c r="S27" s="22">
        <f>SUM(G27:R27)</f>
        <v>6.9810789127437474</v>
      </c>
    </row>
    <row r="28" spans="7:19" x14ac:dyDescent="0.35">
      <c r="G28">
        <f>+R26+1</f>
        <v>61</v>
      </c>
      <c r="H28">
        <f t="shared" ref="H28:R28" si="23">+G28+1</f>
        <v>62</v>
      </c>
      <c r="I28">
        <f t="shared" si="23"/>
        <v>63</v>
      </c>
      <c r="J28">
        <f t="shared" si="23"/>
        <v>64</v>
      </c>
      <c r="K28">
        <f t="shared" si="23"/>
        <v>65</v>
      </c>
      <c r="L28">
        <f t="shared" si="23"/>
        <v>66</v>
      </c>
      <c r="M28">
        <f t="shared" si="23"/>
        <v>67</v>
      </c>
      <c r="N28">
        <f t="shared" si="23"/>
        <v>68</v>
      </c>
      <c r="O28">
        <f t="shared" si="23"/>
        <v>69</v>
      </c>
      <c r="P28">
        <f t="shared" si="23"/>
        <v>70</v>
      </c>
      <c r="Q28">
        <f t="shared" si="23"/>
        <v>71</v>
      </c>
      <c r="R28">
        <f t="shared" si="23"/>
        <v>72</v>
      </c>
      <c r="S28" s="22"/>
    </row>
    <row r="29" spans="7:19" x14ac:dyDescent="0.35">
      <c r="G29">
        <f t="shared" ref="G29:R29" si="24">+(1/(1+$B$1/12))^G28</f>
        <v>0.5449996197403556</v>
      </c>
      <c r="H29">
        <f t="shared" si="24"/>
        <v>0.53960358390134222</v>
      </c>
      <c r="I29">
        <f t="shared" si="24"/>
        <v>0.53426097415974472</v>
      </c>
      <c r="J29">
        <f t="shared" si="24"/>
        <v>0.52897126154430163</v>
      </c>
      <c r="K29">
        <f t="shared" si="24"/>
        <v>0.52373392232109073</v>
      </c>
      <c r="L29">
        <f t="shared" si="24"/>
        <v>0.51854843794167393</v>
      </c>
      <c r="M29">
        <f t="shared" si="24"/>
        <v>0.51341429499175639</v>
      </c>
      <c r="N29">
        <f t="shared" si="24"/>
        <v>0.50833098514035291</v>
      </c>
      <c r="O29">
        <f t="shared" si="24"/>
        <v>0.50329800508945832</v>
      </c>
      <c r="P29">
        <f t="shared" si="24"/>
        <v>0.49831485652421609</v>
      </c>
      <c r="Q29">
        <f t="shared" si="24"/>
        <v>0.4933810460635803</v>
      </c>
      <c r="R29">
        <f t="shared" si="24"/>
        <v>0.48849608521146559</v>
      </c>
      <c r="S29" s="22">
        <f>SUM(G29:R29)</f>
        <v>6.195353072629338</v>
      </c>
    </row>
    <row r="30" spans="7:19" x14ac:dyDescent="0.35">
      <c r="G30">
        <f>+R28+1</f>
        <v>73</v>
      </c>
      <c r="H30">
        <f t="shared" ref="H30:R30" si="25">+G30+1</f>
        <v>74</v>
      </c>
      <c r="I30">
        <f t="shared" si="25"/>
        <v>75</v>
      </c>
      <c r="J30">
        <f t="shared" si="25"/>
        <v>76</v>
      </c>
      <c r="K30">
        <f t="shared" si="25"/>
        <v>77</v>
      </c>
      <c r="L30">
        <f t="shared" si="25"/>
        <v>78</v>
      </c>
      <c r="M30">
        <f t="shared" si="25"/>
        <v>79</v>
      </c>
      <c r="N30">
        <f t="shared" si="25"/>
        <v>80</v>
      </c>
      <c r="O30">
        <f t="shared" si="25"/>
        <v>81</v>
      </c>
      <c r="P30">
        <f t="shared" si="25"/>
        <v>82</v>
      </c>
      <c r="Q30">
        <f t="shared" si="25"/>
        <v>83</v>
      </c>
      <c r="R30">
        <f t="shared" si="25"/>
        <v>84</v>
      </c>
      <c r="S30" s="22"/>
    </row>
    <row r="31" spans="7:19" x14ac:dyDescent="0.35">
      <c r="G31">
        <f t="shared" ref="G31:R31" si="26">+(1/(1+$B$1/12))^G30</f>
        <v>0.48365949030838173</v>
      </c>
      <c r="H31">
        <f t="shared" si="26"/>
        <v>0.47887078248354625</v>
      </c>
      <c r="I31">
        <f t="shared" si="26"/>
        <v>0.47412948760747159</v>
      </c>
      <c r="J31">
        <f t="shared" si="26"/>
        <v>0.46943513624502137</v>
      </c>
      <c r="K31">
        <f t="shared" si="26"/>
        <v>0.46478726360893202</v>
      </c>
      <c r="L31">
        <f t="shared" si="26"/>
        <v>0.46018540951379405</v>
      </c>
      <c r="M31">
        <f t="shared" si="26"/>
        <v>0.45562911833048919</v>
      </c>
      <c r="N31">
        <f t="shared" si="26"/>
        <v>0.45111793894107832</v>
      </c>
      <c r="O31">
        <f t="shared" si="26"/>
        <v>0.44665142469413699</v>
      </c>
      <c r="P31">
        <f t="shared" si="26"/>
        <v>0.44222913336053166</v>
      </c>
      <c r="Q31">
        <f t="shared" si="26"/>
        <v>0.43785062708963529</v>
      </c>
      <c r="R31">
        <f t="shared" si="26"/>
        <v>0.43351547236597548</v>
      </c>
      <c r="S31" s="22">
        <f>SUM(G31:R31)</f>
        <v>5.498061284548994</v>
      </c>
    </row>
  </sheetData>
  <phoneticPr fontId="0"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60"/>
  <sheetViews>
    <sheetView workbookViewId="0">
      <selection activeCell="G19" sqref="G19"/>
    </sheetView>
  </sheetViews>
  <sheetFormatPr defaultColWidth="8.9140625" defaultRowHeight="15.5" x14ac:dyDescent="0.35"/>
  <sheetData>
    <row r="1" spans="1:5" x14ac:dyDescent="0.35">
      <c r="A1" t="s">
        <v>164</v>
      </c>
      <c r="B1" s="30" t="s">
        <v>165</v>
      </c>
    </row>
    <row r="2" spans="1:5" x14ac:dyDescent="0.35">
      <c r="A2" t="s">
        <v>109</v>
      </c>
      <c r="B2" t="s">
        <v>193</v>
      </c>
      <c r="C2" t="s">
        <v>194</v>
      </c>
      <c r="D2" t="s">
        <v>195</v>
      </c>
      <c r="E2">
        <v>2003</v>
      </c>
    </row>
    <row r="3" spans="1:5" x14ac:dyDescent="0.35">
      <c r="A3" t="s">
        <v>196</v>
      </c>
      <c r="B3" t="s">
        <v>197</v>
      </c>
      <c r="C3" t="s">
        <v>198</v>
      </c>
      <c r="D3" t="s">
        <v>0</v>
      </c>
      <c r="E3">
        <v>746.31799999999998</v>
      </c>
    </row>
    <row r="4" spans="1:5" x14ac:dyDescent="0.35">
      <c r="A4" t="s">
        <v>196</v>
      </c>
      <c r="B4" t="s">
        <v>199</v>
      </c>
      <c r="C4" t="s">
        <v>200</v>
      </c>
      <c r="D4" t="s">
        <v>201</v>
      </c>
      <c r="E4">
        <v>52.139000000000003</v>
      </c>
    </row>
    <row r="5" spans="1:5" x14ac:dyDescent="0.35">
      <c r="A5" t="s">
        <v>202</v>
      </c>
      <c r="B5" t="s">
        <v>197</v>
      </c>
      <c r="C5" t="s">
        <v>198</v>
      </c>
      <c r="D5" t="s">
        <v>0</v>
      </c>
      <c r="E5">
        <v>5124</v>
      </c>
    </row>
    <row r="6" spans="1:5" x14ac:dyDescent="0.35">
      <c r="A6" t="s">
        <v>202</v>
      </c>
      <c r="B6" t="s">
        <v>199</v>
      </c>
      <c r="C6" t="s">
        <v>200</v>
      </c>
      <c r="D6" t="s">
        <v>201</v>
      </c>
      <c r="E6">
        <v>26.041</v>
      </c>
    </row>
    <row r="7" spans="1:5" x14ac:dyDescent="0.35">
      <c r="A7" t="s">
        <v>203</v>
      </c>
      <c r="B7" t="s">
        <v>197</v>
      </c>
      <c r="C7" t="s">
        <v>198</v>
      </c>
      <c r="D7" t="s">
        <v>0</v>
      </c>
      <c r="E7">
        <v>1031.4349999999999</v>
      </c>
    </row>
    <row r="8" spans="1:5" x14ac:dyDescent="0.35">
      <c r="A8" t="s">
        <v>203</v>
      </c>
      <c r="B8" t="s">
        <v>199</v>
      </c>
      <c r="C8" t="s">
        <v>200</v>
      </c>
      <c r="D8" t="s">
        <v>201</v>
      </c>
      <c r="E8">
        <v>32.613999999999997</v>
      </c>
    </row>
    <row r="9" spans="1:5" x14ac:dyDescent="0.35">
      <c r="A9" t="s">
        <v>204</v>
      </c>
      <c r="B9" t="s">
        <v>197</v>
      </c>
      <c r="C9" t="s">
        <v>198</v>
      </c>
      <c r="D9" t="s">
        <v>0</v>
      </c>
      <c r="E9">
        <v>2.0339999999999998</v>
      </c>
    </row>
    <row r="10" spans="1:5" x14ac:dyDescent="0.35">
      <c r="A10" t="s">
        <v>204</v>
      </c>
      <c r="B10" t="s">
        <v>199</v>
      </c>
      <c r="C10" t="s">
        <v>200</v>
      </c>
      <c r="D10" t="s">
        <v>201</v>
      </c>
      <c r="E10">
        <v>2.5739999999999998</v>
      </c>
    </row>
    <row r="11" spans="1:5" x14ac:dyDescent="0.35">
      <c r="A11" t="s">
        <v>114</v>
      </c>
      <c r="B11" t="s">
        <v>197</v>
      </c>
      <c r="C11" t="s">
        <v>198</v>
      </c>
      <c r="D11" t="s">
        <v>0</v>
      </c>
      <c r="E11">
        <v>375.90899999999999</v>
      </c>
    </row>
    <row r="12" spans="1:5" x14ac:dyDescent="0.35">
      <c r="A12" t="s">
        <v>114</v>
      </c>
      <c r="B12" t="s">
        <v>199</v>
      </c>
      <c r="C12" t="s">
        <v>200</v>
      </c>
      <c r="D12" t="s">
        <v>201</v>
      </c>
      <c r="E12">
        <v>0.88500000000000001</v>
      </c>
    </row>
    <row r="13" spans="1:5" x14ac:dyDescent="0.35">
      <c r="A13" t="s">
        <v>205</v>
      </c>
      <c r="B13" t="s">
        <v>197</v>
      </c>
      <c r="C13" t="s">
        <v>198</v>
      </c>
      <c r="D13" t="s">
        <v>0</v>
      </c>
      <c r="E13">
        <v>1618.3</v>
      </c>
    </row>
    <row r="14" spans="1:5" x14ac:dyDescent="0.35">
      <c r="A14" t="s">
        <v>205</v>
      </c>
      <c r="B14" t="s">
        <v>199</v>
      </c>
      <c r="C14" t="s">
        <v>200</v>
      </c>
      <c r="D14" t="s">
        <v>201</v>
      </c>
      <c r="E14">
        <v>145.49199999999999</v>
      </c>
    </row>
    <row r="15" spans="1:5" x14ac:dyDescent="0.35">
      <c r="A15" t="s">
        <v>136</v>
      </c>
      <c r="B15" t="s">
        <v>197</v>
      </c>
      <c r="C15" t="s">
        <v>198</v>
      </c>
      <c r="D15" t="s">
        <v>0</v>
      </c>
      <c r="E15">
        <v>780.08699999999999</v>
      </c>
    </row>
    <row r="16" spans="1:5" x14ac:dyDescent="0.35">
      <c r="A16" t="s">
        <v>136</v>
      </c>
      <c r="B16" t="s">
        <v>199</v>
      </c>
      <c r="C16" t="s">
        <v>200</v>
      </c>
      <c r="D16" t="s">
        <v>201</v>
      </c>
      <c r="E16">
        <v>1.4039999999999999</v>
      </c>
    </row>
    <row r="17" spans="1:5" x14ac:dyDescent="0.35">
      <c r="A17" t="s">
        <v>206</v>
      </c>
      <c r="B17" t="s">
        <v>197</v>
      </c>
      <c r="C17" t="s">
        <v>198</v>
      </c>
      <c r="D17" t="s">
        <v>0</v>
      </c>
      <c r="E17">
        <v>224.27</v>
      </c>
    </row>
    <row r="18" spans="1:5" x14ac:dyDescent="0.35">
      <c r="A18" t="s">
        <v>206</v>
      </c>
      <c r="B18" t="s">
        <v>199</v>
      </c>
      <c r="C18" t="s">
        <v>200</v>
      </c>
      <c r="D18" t="s">
        <v>201</v>
      </c>
      <c r="E18">
        <v>0.91</v>
      </c>
    </row>
    <row r="19" spans="1:5" x14ac:dyDescent="0.35">
      <c r="A19" t="s">
        <v>207</v>
      </c>
      <c r="B19" t="s">
        <v>197</v>
      </c>
      <c r="C19" t="s">
        <v>198</v>
      </c>
      <c r="D19" t="s">
        <v>0</v>
      </c>
      <c r="E19">
        <v>35053.599999999999</v>
      </c>
    </row>
    <row r="20" spans="1:5" x14ac:dyDescent="0.35">
      <c r="A20" t="s">
        <v>207</v>
      </c>
      <c r="B20" t="s">
        <v>199</v>
      </c>
      <c r="C20" t="s">
        <v>200</v>
      </c>
      <c r="D20" t="s">
        <v>201</v>
      </c>
      <c r="E20">
        <v>1144.867</v>
      </c>
    </row>
    <row r="21" spans="1:5" x14ac:dyDescent="0.35">
      <c r="A21" t="s">
        <v>208</v>
      </c>
      <c r="B21" t="s">
        <v>197</v>
      </c>
      <c r="C21" t="s">
        <v>198</v>
      </c>
      <c r="D21" t="s">
        <v>0</v>
      </c>
      <c r="E21">
        <v>5.2370000000000001</v>
      </c>
    </row>
    <row r="22" spans="1:5" x14ac:dyDescent="0.35">
      <c r="A22" t="s">
        <v>208</v>
      </c>
      <c r="B22" t="s">
        <v>199</v>
      </c>
      <c r="C22" t="s">
        <v>200</v>
      </c>
      <c r="D22" t="s">
        <v>201</v>
      </c>
      <c r="E22">
        <v>0.96099999999999997</v>
      </c>
    </row>
    <row r="23" spans="1:5" x14ac:dyDescent="0.35">
      <c r="A23" t="s">
        <v>209</v>
      </c>
      <c r="B23" t="s">
        <v>197</v>
      </c>
      <c r="C23" t="s">
        <v>198</v>
      </c>
      <c r="D23" t="s">
        <v>0</v>
      </c>
      <c r="E23">
        <v>3.4319999999999999</v>
      </c>
    </row>
    <row r="24" spans="1:5" x14ac:dyDescent="0.35">
      <c r="A24" t="s">
        <v>209</v>
      </c>
      <c r="B24" t="s">
        <v>199</v>
      </c>
      <c r="C24" t="s">
        <v>200</v>
      </c>
      <c r="D24" t="s">
        <v>201</v>
      </c>
      <c r="E24">
        <v>0.27500000000000002</v>
      </c>
    </row>
    <row r="25" spans="1:5" x14ac:dyDescent="0.35">
      <c r="A25" t="s">
        <v>210</v>
      </c>
      <c r="B25" t="s">
        <v>197</v>
      </c>
      <c r="C25" t="s">
        <v>198</v>
      </c>
      <c r="D25" t="s">
        <v>0</v>
      </c>
      <c r="E25">
        <v>3174.7159999999999</v>
      </c>
    </row>
    <row r="26" spans="1:5" x14ac:dyDescent="0.35">
      <c r="A26" t="s">
        <v>210</v>
      </c>
      <c r="B26" t="s">
        <v>199</v>
      </c>
      <c r="C26" t="s">
        <v>200</v>
      </c>
      <c r="D26" t="s">
        <v>201</v>
      </c>
      <c r="E26">
        <v>12.363</v>
      </c>
    </row>
    <row r="27" spans="1:5" x14ac:dyDescent="0.35">
      <c r="A27" t="s">
        <v>211</v>
      </c>
      <c r="B27" t="s">
        <v>197</v>
      </c>
      <c r="C27" t="s">
        <v>198</v>
      </c>
      <c r="D27" t="s">
        <v>0</v>
      </c>
      <c r="E27">
        <v>5.3959999999999999</v>
      </c>
    </row>
    <row r="28" spans="1:5" x14ac:dyDescent="0.35">
      <c r="A28" t="s">
        <v>211</v>
      </c>
      <c r="B28" t="s">
        <v>199</v>
      </c>
      <c r="C28" t="s">
        <v>200</v>
      </c>
      <c r="D28" t="s">
        <v>201</v>
      </c>
      <c r="E28">
        <v>1.244</v>
      </c>
    </row>
    <row r="29" spans="1:5" x14ac:dyDescent="0.35">
      <c r="A29" t="s">
        <v>212</v>
      </c>
      <c r="B29" t="s">
        <v>197</v>
      </c>
      <c r="C29" t="s">
        <v>198</v>
      </c>
      <c r="D29" t="s">
        <v>0</v>
      </c>
      <c r="E29">
        <v>35930.1</v>
      </c>
    </row>
    <row r="30" spans="1:5" x14ac:dyDescent="0.35">
      <c r="A30" t="s">
        <v>212</v>
      </c>
      <c r="B30" t="s">
        <v>199</v>
      </c>
      <c r="C30" t="s">
        <v>200</v>
      </c>
      <c r="D30" t="s">
        <v>201</v>
      </c>
      <c r="E30">
        <v>607.19500000000005</v>
      </c>
    </row>
    <row r="31" spans="1:5" x14ac:dyDescent="0.35">
      <c r="A31" t="s">
        <v>117</v>
      </c>
      <c r="B31" t="s">
        <v>197</v>
      </c>
      <c r="C31" t="s">
        <v>198</v>
      </c>
      <c r="D31" t="s">
        <v>0</v>
      </c>
      <c r="E31">
        <v>267.35300000000001</v>
      </c>
    </row>
    <row r="32" spans="1:5" x14ac:dyDescent="0.35">
      <c r="A32" t="s">
        <v>117</v>
      </c>
      <c r="B32" t="s">
        <v>199</v>
      </c>
      <c r="C32" t="s">
        <v>200</v>
      </c>
      <c r="D32" t="s">
        <v>201</v>
      </c>
      <c r="E32">
        <v>0.93600000000000005</v>
      </c>
    </row>
    <row r="33" spans="1:5" x14ac:dyDescent="0.35">
      <c r="A33" t="s">
        <v>213</v>
      </c>
      <c r="B33" t="s">
        <v>197</v>
      </c>
      <c r="C33" t="s">
        <v>198</v>
      </c>
      <c r="D33" t="s">
        <v>0</v>
      </c>
      <c r="E33">
        <v>1.9770000000000001</v>
      </c>
    </row>
    <row r="34" spans="1:5" x14ac:dyDescent="0.35">
      <c r="A34" t="s">
        <v>213</v>
      </c>
      <c r="B34" t="s">
        <v>199</v>
      </c>
      <c r="C34" t="s">
        <v>200</v>
      </c>
      <c r="D34" t="s">
        <v>201</v>
      </c>
      <c r="E34">
        <v>1.105</v>
      </c>
    </row>
    <row r="35" spans="1:5" x14ac:dyDescent="0.35">
      <c r="A35" t="s">
        <v>214</v>
      </c>
      <c r="B35" t="s">
        <v>197</v>
      </c>
      <c r="C35" t="s">
        <v>198</v>
      </c>
      <c r="D35" t="s">
        <v>0</v>
      </c>
      <c r="E35">
        <v>2019.961</v>
      </c>
    </row>
    <row r="36" spans="1:5" x14ac:dyDescent="0.35">
      <c r="A36" t="s">
        <v>214</v>
      </c>
      <c r="B36" t="s">
        <v>199</v>
      </c>
      <c r="C36" t="s">
        <v>200</v>
      </c>
      <c r="D36" t="s">
        <v>201</v>
      </c>
      <c r="E36">
        <v>272.66300000000001</v>
      </c>
    </row>
    <row r="37" spans="1:5" x14ac:dyDescent="0.35">
      <c r="A37" t="s">
        <v>215</v>
      </c>
      <c r="B37" t="s">
        <v>197</v>
      </c>
      <c r="C37" t="s">
        <v>198</v>
      </c>
      <c r="D37" t="s">
        <v>0</v>
      </c>
      <c r="E37">
        <v>31.884</v>
      </c>
    </row>
    <row r="38" spans="1:5" x14ac:dyDescent="0.35">
      <c r="A38" t="s">
        <v>215</v>
      </c>
      <c r="B38" t="s">
        <v>199</v>
      </c>
      <c r="C38" t="s">
        <v>200</v>
      </c>
      <c r="D38" t="s">
        <v>201</v>
      </c>
      <c r="E38">
        <v>12.875999999999999</v>
      </c>
    </row>
    <row r="39" spans="1:5" x14ac:dyDescent="0.35">
      <c r="A39" t="s">
        <v>216</v>
      </c>
      <c r="B39" t="s">
        <v>197</v>
      </c>
      <c r="C39" t="s">
        <v>198</v>
      </c>
      <c r="D39" t="s">
        <v>0</v>
      </c>
      <c r="E39">
        <v>60.252000000000002</v>
      </c>
    </row>
    <row r="40" spans="1:5" x14ac:dyDescent="0.35">
      <c r="A40" t="s">
        <v>216</v>
      </c>
      <c r="B40" t="s">
        <v>199</v>
      </c>
      <c r="C40" t="s">
        <v>200</v>
      </c>
      <c r="D40" t="s">
        <v>201</v>
      </c>
      <c r="E40">
        <v>2.681</v>
      </c>
    </row>
    <row r="41" spans="1:5" x14ac:dyDescent="0.35">
      <c r="A41" t="s">
        <v>217</v>
      </c>
      <c r="B41" t="s">
        <v>197</v>
      </c>
      <c r="C41" t="s">
        <v>198</v>
      </c>
      <c r="D41" t="s">
        <v>0</v>
      </c>
      <c r="E41">
        <v>12.061999999999999</v>
      </c>
    </row>
    <row r="42" spans="1:5" x14ac:dyDescent="0.35">
      <c r="A42" t="s">
        <v>217</v>
      </c>
      <c r="B42" t="s">
        <v>199</v>
      </c>
      <c r="C42" t="s">
        <v>200</v>
      </c>
      <c r="D42" t="s">
        <v>201</v>
      </c>
      <c r="E42">
        <v>0.47099999999999997</v>
      </c>
    </row>
    <row r="43" spans="1:5" x14ac:dyDescent="0.35">
      <c r="A43" t="s">
        <v>218</v>
      </c>
      <c r="B43" t="s">
        <v>197</v>
      </c>
      <c r="C43" t="s">
        <v>198</v>
      </c>
      <c r="D43" t="s">
        <v>0</v>
      </c>
      <c r="E43">
        <v>36.567999999999998</v>
      </c>
    </row>
    <row r="44" spans="1:5" x14ac:dyDescent="0.35">
      <c r="A44" t="s">
        <v>218</v>
      </c>
      <c r="B44" t="s">
        <v>199</v>
      </c>
      <c r="C44" t="s">
        <v>200</v>
      </c>
      <c r="D44" t="s">
        <v>201</v>
      </c>
      <c r="E44">
        <v>2.4369999999999998</v>
      </c>
    </row>
    <row r="45" spans="1:5" x14ac:dyDescent="0.35">
      <c r="A45" t="s">
        <v>115</v>
      </c>
      <c r="B45" t="s">
        <v>197</v>
      </c>
      <c r="C45" t="s">
        <v>198</v>
      </c>
      <c r="D45" t="s">
        <v>0</v>
      </c>
      <c r="E45">
        <v>1514.924</v>
      </c>
    </row>
    <row r="46" spans="1:5" x14ac:dyDescent="0.35">
      <c r="A46" t="s">
        <v>115</v>
      </c>
      <c r="B46" t="s">
        <v>199</v>
      </c>
      <c r="C46" t="s">
        <v>200</v>
      </c>
      <c r="D46" t="s">
        <v>201</v>
      </c>
      <c r="E46">
        <v>1.123</v>
      </c>
    </row>
    <row r="47" spans="1:5" x14ac:dyDescent="0.35">
      <c r="A47" t="s">
        <v>219</v>
      </c>
      <c r="B47" t="s">
        <v>197</v>
      </c>
      <c r="C47" t="s">
        <v>198</v>
      </c>
      <c r="D47" t="s">
        <v>0</v>
      </c>
      <c r="E47">
        <v>8.2260000000000009</v>
      </c>
    </row>
    <row r="48" spans="1:5" x14ac:dyDescent="0.35">
      <c r="A48" t="s">
        <v>219</v>
      </c>
      <c r="B48" t="s">
        <v>199</v>
      </c>
      <c r="C48" t="s">
        <v>200</v>
      </c>
      <c r="D48" t="s">
        <v>201</v>
      </c>
      <c r="E48">
        <v>1.401</v>
      </c>
    </row>
    <row r="49" spans="1:5" x14ac:dyDescent="0.35">
      <c r="A49" t="s">
        <v>220</v>
      </c>
      <c r="B49" t="s">
        <v>197</v>
      </c>
      <c r="C49" t="s">
        <v>198</v>
      </c>
      <c r="D49" t="s">
        <v>0</v>
      </c>
      <c r="E49">
        <v>34.409999999999997</v>
      </c>
    </row>
    <row r="50" spans="1:5" x14ac:dyDescent="0.35">
      <c r="A50" t="s">
        <v>220</v>
      </c>
      <c r="B50" t="s">
        <v>199</v>
      </c>
      <c r="C50" t="s">
        <v>200</v>
      </c>
      <c r="D50" t="s">
        <v>201</v>
      </c>
      <c r="E50">
        <v>0.57999999999999996</v>
      </c>
    </row>
    <row r="51" spans="1:5" x14ac:dyDescent="0.35">
      <c r="A51" t="s">
        <v>221</v>
      </c>
      <c r="B51" t="s">
        <v>197</v>
      </c>
      <c r="C51" t="s">
        <v>198</v>
      </c>
      <c r="D51" t="s">
        <v>0</v>
      </c>
      <c r="E51">
        <v>2478.4299999999998</v>
      </c>
    </row>
    <row r="52" spans="1:5" x14ac:dyDescent="0.35">
      <c r="A52" t="s">
        <v>221</v>
      </c>
      <c r="B52" t="s">
        <v>199</v>
      </c>
      <c r="C52" t="s">
        <v>200</v>
      </c>
      <c r="D52" t="s">
        <v>201</v>
      </c>
      <c r="E52">
        <v>166.804</v>
      </c>
    </row>
    <row r="53" spans="1:5" x14ac:dyDescent="0.35">
      <c r="A53" t="s">
        <v>222</v>
      </c>
      <c r="B53" t="s">
        <v>197</v>
      </c>
      <c r="C53" t="s">
        <v>198</v>
      </c>
      <c r="D53" t="s">
        <v>0</v>
      </c>
      <c r="E53">
        <v>644.678</v>
      </c>
    </row>
    <row r="54" spans="1:5" x14ac:dyDescent="0.35">
      <c r="A54" t="s">
        <v>222</v>
      </c>
      <c r="B54" t="s">
        <v>199</v>
      </c>
      <c r="C54" t="s">
        <v>200</v>
      </c>
      <c r="D54" t="s">
        <v>201</v>
      </c>
      <c r="E54">
        <v>135.99799999999999</v>
      </c>
    </row>
    <row r="55" spans="1:5" x14ac:dyDescent="0.35">
      <c r="A55" t="s">
        <v>223</v>
      </c>
      <c r="B55" t="s">
        <v>197</v>
      </c>
      <c r="C55" t="s">
        <v>198</v>
      </c>
      <c r="D55" t="s">
        <v>0</v>
      </c>
      <c r="E55">
        <v>16747.797999999999</v>
      </c>
    </row>
    <row r="56" spans="1:5" x14ac:dyDescent="0.35">
      <c r="A56" t="s">
        <v>223</v>
      </c>
      <c r="B56" t="s">
        <v>199</v>
      </c>
      <c r="C56" t="s">
        <v>200</v>
      </c>
      <c r="D56" t="s">
        <v>201</v>
      </c>
      <c r="E56">
        <v>696.38099999999997</v>
      </c>
    </row>
    <row r="57" spans="1:5" x14ac:dyDescent="0.35">
      <c r="A57" t="s">
        <v>224</v>
      </c>
      <c r="B57" t="s">
        <v>197</v>
      </c>
      <c r="C57" t="s">
        <v>198</v>
      </c>
      <c r="D57" t="s">
        <v>0</v>
      </c>
      <c r="E57">
        <v>7259.6540000000005</v>
      </c>
    </row>
    <row r="58" spans="1:5" x14ac:dyDescent="0.35">
      <c r="A58" t="s">
        <v>224</v>
      </c>
      <c r="B58" t="s">
        <v>199</v>
      </c>
      <c r="C58" t="s">
        <v>200</v>
      </c>
      <c r="D58" t="s">
        <v>201</v>
      </c>
      <c r="E58">
        <v>240.274</v>
      </c>
    </row>
    <row r="59" spans="1:5" x14ac:dyDescent="0.35">
      <c r="A59" t="s">
        <v>110</v>
      </c>
      <c r="B59" t="s">
        <v>197</v>
      </c>
      <c r="C59" t="s">
        <v>198</v>
      </c>
      <c r="D59" t="s">
        <v>0</v>
      </c>
      <c r="E59">
        <v>1218.7719999999999</v>
      </c>
    </row>
    <row r="60" spans="1:5" x14ac:dyDescent="0.35">
      <c r="A60" t="s">
        <v>110</v>
      </c>
      <c r="B60" t="s">
        <v>199</v>
      </c>
      <c r="C60" t="s">
        <v>200</v>
      </c>
      <c r="D60" t="s">
        <v>201</v>
      </c>
      <c r="E60">
        <v>1.246</v>
      </c>
    </row>
    <row r="61" spans="1:5" x14ac:dyDescent="0.35">
      <c r="A61" t="s">
        <v>225</v>
      </c>
      <c r="B61" t="s">
        <v>197</v>
      </c>
      <c r="C61" t="s">
        <v>198</v>
      </c>
      <c r="D61" t="s">
        <v>0</v>
      </c>
      <c r="E61">
        <v>81.233000000000004</v>
      </c>
    </row>
    <row r="62" spans="1:5" x14ac:dyDescent="0.35">
      <c r="A62" t="s">
        <v>225</v>
      </c>
      <c r="B62" t="s">
        <v>199</v>
      </c>
      <c r="C62" t="s">
        <v>200</v>
      </c>
      <c r="D62" t="s">
        <v>201</v>
      </c>
      <c r="E62">
        <v>32.9</v>
      </c>
    </row>
    <row r="63" spans="1:5" x14ac:dyDescent="0.35">
      <c r="A63" t="s">
        <v>226</v>
      </c>
      <c r="B63" t="s">
        <v>197</v>
      </c>
      <c r="C63" t="s">
        <v>198</v>
      </c>
      <c r="D63" t="s">
        <v>0</v>
      </c>
      <c r="E63">
        <v>695.58199999999999</v>
      </c>
    </row>
    <row r="64" spans="1:5" x14ac:dyDescent="0.35">
      <c r="A64" t="s">
        <v>226</v>
      </c>
      <c r="B64" t="s">
        <v>199</v>
      </c>
      <c r="C64" t="s">
        <v>200</v>
      </c>
      <c r="D64" t="s">
        <v>201</v>
      </c>
      <c r="E64">
        <v>165.58099999999999</v>
      </c>
    </row>
    <row r="65" spans="1:5" x14ac:dyDescent="0.35">
      <c r="A65" t="s">
        <v>227</v>
      </c>
      <c r="B65" t="s">
        <v>197</v>
      </c>
      <c r="C65" t="s">
        <v>198</v>
      </c>
      <c r="D65" t="s">
        <v>0</v>
      </c>
      <c r="E65">
        <v>1532.337</v>
      </c>
    </row>
    <row r="66" spans="1:5" x14ac:dyDescent="0.35">
      <c r="A66" t="s">
        <v>227</v>
      </c>
      <c r="B66" t="s">
        <v>199</v>
      </c>
      <c r="C66" t="s">
        <v>200</v>
      </c>
      <c r="D66" t="s">
        <v>201</v>
      </c>
      <c r="E66">
        <v>171.72399999999999</v>
      </c>
    </row>
    <row r="67" spans="1:5" x14ac:dyDescent="0.35">
      <c r="A67" t="s">
        <v>228</v>
      </c>
      <c r="B67" t="s">
        <v>197</v>
      </c>
      <c r="C67" t="s">
        <v>198</v>
      </c>
      <c r="D67" t="s">
        <v>0</v>
      </c>
      <c r="E67">
        <v>49819.303</v>
      </c>
    </row>
    <row r="68" spans="1:5" x14ac:dyDescent="0.35">
      <c r="A68" t="s">
        <v>228</v>
      </c>
      <c r="B68" t="s">
        <v>199</v>
      </c>
      <c r="C68" t="s">
        <v>200</v>
      </c>
      <c r="D68" t="s">
        <v>201</v>
      </c>
      <c r="E68">
        <v>312.87799999999999</v>
      </c>
    </row>
    <row r="69" spans="1:5" x14ac:dyDescent="0.35">
      <c r="A69" t="s">
        <v>137</v>
      </c>
      <c r="B69" t="s">
        <v>197</v>
      </c>
      <c r="C69" t="s">
        <v>198</v>
      </c>
      <c r="D69" t="s">
        <v>0</v>
      </c>
      <c r="E69">
        <v>11689.84</v>
      </c>
    </row>
    <row r="70" spans="1:5" x14ac:dyDescent="0.35">
      <c r="A70" t="s">
        <v>137</v>
      </c>
      <c r="B70" t="s">
        <v>199</v>
      </c>
      <c r="C70" t="s">
        <v>200</v>
      </c>
      <c r="D70" t="s">
        <v>201</v>
      </c>
      <c r="E70">
        <v>1.8160000000000001</v>
      </c>
    </row>
    <row r="71" spans="1:5" x14ac:dyDescent="0.35">
      <c r="A71" t="s">
        <v>229</v>
      </c>
      <c r="B71" t="s">
        <v>197</v>
      </c>
      <c r="C71" t="s">
        <v>198</v>
      </c>
      <c r="D71" t="s">
        <v>0</v>
      </c>
      <c r="E71">
        <v>223191.924</v>
      </c>
    </row>
    <row r="72" spans="1:5" x14ac:dyDescent="0.35">
      <c r="A72" t="s">
        <v>229</v>
      </c>
      <c r="B72" t="s">
        <v>199</v>
      </c>
      <c r="C72" t="s">
        <v>200</v>
      </c>
      <c r="D72" t="s">
        <v>201</v>
      </c>
      <c r="E72">
        <v>785.63300000000004</v>
      </c>
    </row>
    <row r="73" spans="1:5" x14ac:dyDescent="0.35">
      <c r="A73" t="s">
        <v>230</v>
      </c>
      <c r="B73" t="s">
        <v>197</v>
      </c>
      <c r="C73" t="s">
        <v>198</v>
      </c>
      <c r="D73" t="s">
        <v>0</v>
      </c>
      <c r="E73">
        <v>134.30099999999999</v>
      </c>
    </row>
    <row r="74" spans="1:5" x14ac:dyDescent="0.35">
      <c r="A74" t="s">
        <v>230</v>
      </c>
      <c r="B74" t="s">
        <v>199</v>
      </c>
      <c r="C74" t="s">
        <v>200</v>
      </c>
      <c r="D74" t="s">
        <v>201</v>
      </c>
      <c r="E74">
        <v>135.25700000000001</v>
      </c>
    </row>
    <row r="75" spans="1:5" x14ac:dyDescent="0.35">
      <c r="A75" t="s">
        <v>231</v>
      </c>
      <c r="B75" t="s">
        <v>197</v>
      </c>
      <c r="C75" t="s">
        <v>198</v>
      </c>
      <c r="D75" t="s">
        <v>0</v>
      </c>
      <c r="E75">
        <v>2298.6559999999999</v>
      </c>
    </row>
    <row r="76" spans="1:5" x14ac:dyDescent="0.35">
      <c r="A76" t="s">
        <v>231</v>
      </c>
      <c r="B76" t="s">
        <v>199</v>
      </c>
      <c r="C76" t="s">
        <v>200</v>
      </c>
      <c r="D76" t="s">
        <v>201</v>
      </c>
      <c r="E76">
        <v>69.853999999999999</v>
      </c>
    </row>
    <row r="77" spans="1:5" x14ac:dyDescent="0.35">
      <c r="A77" t="s">
        <v>232</v>
      </c>
      <c r="B77" t="s">
        <v>197</v>
      </c>
      <c r="C77" t="s">
        <v>198</v>
      </c>
      <c r="D77" t="s">
        <v>0</v>
      </c>
      <c r="E77">
        <v>2071.5</v>
      </c>
    </row>
    <row r="78" spans="1:5" x14ac:dyDescent="0.35">
      <c r="A78" t="s">
        <v>232</v>
      </c>
      <c r="B78" t="s">
        <v>199</v>
      </c>
      <c r="C78" t="s">
        <v>200</v>
      </c>
      <c r="D78" t="s">
        <v>201</v>
      </c>
      <c r="E78">
        <v>677.74199999999996</v>
      </c>
    </row>
    <row r="79" spans="1:5" x14ac:dyDescent="0.35">
      <c r="A79" t="s">
        <v>233</v>
      </c>
      <c r="B79" t="s">
        <v>197</v>
      </c>
      <c r="C79" t="s">
        <v>198</v>
      </c>
      <c r="D79" t="s">
        <v>0</v>
      </c>
      <c r="E79">
        <v>7004.8559999999998</v>
      </c>
    </row>
    <row r="80" spans="1:5" x14ac:dyDescent="0.35">
      <c r="A80" t="s">
        <v>233</v>
      </c>
      <c r="B80" t="s">
        <v>199</v>
      </c>
      <c r="C80" t="s">
        <v>200</v>
      </c>
      <c r="D80" t="s">
        <v>201</v>
      </c>
      <c r="E80">
        <v>185.691</v>
      </c>
    </row>
    <row r="81" spans="1:5" x14ac:dyDescent="0.35">
      <c r="A81" t="s">
        <v>234</v>
      </c>
      <c r="B81" t="s">
        <v>197</v>
      </c>
      <c r="C81" t="s">
        <v>198</v>
      </c>
      <c r="D81" t="s">
        <v>0</v>
      </c>
      <c r="E81">
        <v>8130.201</v>
      </c>
    </row>
    <row r="82" spans="1:5" x14ac:dyDescent="0.35">
      <c r="A82" t="s">
        <v>234</v>
      </c>
      <c r="B82" t="s">
        <v>199</v>
      </c>
      <c r="C82" t="s">
        <v>200</v>
      </c>
      <c r="D82" t="s">
        <v>201</v>
      </c>
      <c r="E82">
        <v>318.94799999999998</v>
      </c>
    </row>
    <row r="83" spans="1:5" x14ac:dyDescent="0.35">
      <c r="A83" t="s">
        <v>235</v>
      </c>
      <c r="B83" t="s">
        <v>197</v>
      </c>
      <c r="C83" t="s">
        <v>198</v>
      </c>
      <c r="D83" t="s">
        <v>0</v>
      </c>
      <c r="E83">
        <v>193.06700000000001</v>
      </c>
    </row>
    <row r="84" spans="1:5" x14ac:dyDescent="0.35">
      <c r="A84" t="s">
        <v>235</v>
      </c>
      <c r="B84" t="s">
        <v>199</v>
      </c>
      <c r="C84" t="s">
        <v>200</v>
      </c>
      <c r="D84" t="s">
        <v>201</v>
      </c>
      <c r="E84">
        <v>4.0209999999999999</v>
      </c>
    </row>
    <row r="85" spans="1:5" x14ac:dyDescent="0.35">
      <c r="A85" t="s">
        <v>236</v>
      </c>
      <c r="B85" t="s">
        <v>197</v>
      </c>
      <c r="C85" t="s">
        <v>198</v>
      </c>
      <c r="D85" t="s">
        <v>0</v>
      </c>
      <c r="E85">
        <v>6.6139999999999999</v>
      </c>
    </row>
    <row r="86" spans="1:5" x14ac:dyDescent="0.35">
      <c r="A86" t="s">
        <v>236</v>
      </c>
      <c r="B86" t="s">
        <v>199</v>
      </c>
      <c r="C86" t="s">
        <v>200</v>
      </c>
      <c r="D86" t="s">
        <v>201</v>
      </c>
      <c r="E86">
        <v>0.44500000000000001</v>
      </c>
    </row>
    <row r="87" spans="1:5" x14ac:dyDescent="0.35">
      <c r="A87" t="s">
        <v>186</v>
      </c>
      <c r="B87" t="s">
        <v>197</v>
      </c>
      <c r="C87" t="s">
        <v>198</v>
      </c>
      <c r="D87" t="s">
        <v>0</v>
      </c>
      <c r="E87">
        <v>2532.3879999999999</v>
      </c>
    </row>
    <row r="88" spans="1:5" x14ac:dyDescent="0.35">
      <c r="A88" t="s">
        <v>186</v>
      </c>
      <c r="B88" t="s">
        <v>199</v>
      </c>
      <c r="C88" t="s">
        <v>200</v>
      </c>
      <c r="D88" t="s">
        <v>201</v>
      </c>
      <c r="E88">
        <v>14.827</v>
      </c>
    </row>
    <row r="89" spans="1:5" x14ac:dyDescent="0.35">
      <c r="A89" t="s">
        <v>237</v>
      </c>
      <c r="B89" t="s">
        <v>197</v>
      </c>
      <c r="C89" t="s">
        <v>198</v>
      </c>
      <c r="D89" t="s">
        <v>0</v>
      </c>
      <c r="E89">
        <v>1398.3330000000001</v>
      </c>
    </row>
    <row r="90" spans="1:5" x14ac:dyDescent="0.35">
      <c r="A90" t="s">
        <v>237</v>
      </c>
      <c r="B90" t="s">
        <v>199</v>
      </c>
      <c r="C90" t="s">
        <v>200</v>
      </c>
      <c r="D90" t="s">
        <v>201</v>
      </c>
      <c r="E90">
        <v>8.3520000000000003</v>
      </c>
    </row>
    <row r="91" spans="1:5" x14ac:dyDescent="0.35">
      <c r="A91" t="s">
        <v>238</v>
      </c>
      <c r="B91" t="s">
        <v>197</v>
      </c>
      <c r="C91" t="s">
        <v>198</v>
      </c>
      <c r="D91" t="s">
        <v>0</v>
      </c>
      <c r="E91">
        <v>111.07</v>
      </c>
    </row>
    <row r="92" spans="1:5" x14ac:dyDescent="0.35">
      <c r="A92" t="s">
        <v>238</v>
      </c>
      <c r="B92" t="s">
        <v>199</v>
      </c>
      <c r="C92" t="s">
        <v>200</v>
      </c>
      <c r="D92" t="s">
        <v>201</v>
      </c>
      <c r="E92">
        <v>77.445999999999998</v>
      </c>
    </row>
    <row r="93" spans="1:5" x14ac:dyDescent="0.35">
      <c r="A93" t="s">
        <v>239</v>
      </c>
      <c r="B93" t="s">
        <v>197</v>
      </c>
      <c r="C93" t="s">
        <v>198</v>
      </c>
      <c r="D93" t="s">
        <v>0</v>
      </c>
      <c r="E93">
        <v>0.68799999999999994</v>
      </c>
    </row>
    <row r="94" spans="1:5" x14ac:dyDescent="0.35">
      <c r="A94" t="s">
        <v>239</v>
      </c>
      <c r="B94" t="s">
        <v>199</v>
      </c>
      <c r="C94" t="s">
        <v>200</v>
      </c>
      <c r="D94" t="s">
        <v>201</v>
      </c>
      <c r="E94">
        <v>1.6719999999999999</v>
      </c>
    </row>
    <row r="95" spans="1:5" x14ac:dyDescent="0.35">
      <c r="A95" t="s">
        <v>240</v>
      </c>
      <c r="B95" t="s">
        <v>197</v>
      </c>
      <c r="C95" t="s">
        <v>198</v>
      </c>
      <c r="D95" t="s">
        <v>0</v>
      </c>
      <c r="E95">
        <v>510.12700000000001</v>
      </c>
    </row>
    <row r="96" spans="1:5" x14ac:dyDescent="0.35">
      <c r="A96" t="s">
        <v>240</v>
      </c>
      <c r="B96" t="s">
        <v>199</v>
      </c>
      <c r="C96" t="s">
        <v>200</v>
      </c>
      <c r="D96" t="s">
        <v>201</v>
      </c>
      <c r="E96">
        <v>9.1129999999999995</v>
      </c>
    </row>
    <row r="97" spans="1:5" x14ac:dyDescent="0.35">
      <c r="A97" t="s">
        <v>241</v>
      </c>
      <c r="B97" t="s">
        <v>197</v>
      </c>
      <c r="C97" t="s">
        <v>198</v>
      </c>
      <c r="D97" t="s">
        <v>0</v>
      </c>
      <c r="E97">
        <v>26.8</v>
      </c>
    </row>
    <row r="98" spans="1:5" x14ac:dyDescent="0.35">
      <c r="A98" t="s">
        <v>241</v>
      </c>
      <c r="B98" t="s">
        <v>199</v>
      </c>
      <c r="C98" t="s">
        <v>200</v>
      </c>
      <c r="D98" t="s">
        <v>201</v>
      </c>
      <c r="E98">
        <v>0.54300000000000004</v>
      </c>
    </row>
    <row r="99" spans="1:5" x14ac:dyDescent="0.35">
      <c r="A99" t="s">
        <v>132</v>
      </c>
      <c r="B99" t="s">
        <v>197</v>
      </c>
      <c r="C99" t="s">
        <v>198</v>
      </c>
      <c r="D99" t="s">
        <v>0</v>
      </c>
      <c r="E99">
        <v>415</v>
      </c>
    </row>
    <row r="100" spans="1:5" x14ac:dyDescent="0.35">
      <c r="A100" t="s">
        <v>132</v>
      </c>
      <c r="B100" t="s">
        <v>199</v>
      </c>
      <c r="C100" t="s">
        <v>200</v>
      </c>
      <c r="D100" t="s">
        <v>201</v>
      </c>
      <c r="E100">
        <v>1.5760000000000001</v>
      </c>
    </row>
    <row r="101" spans="1:5" x14ac:dyDescent="0.35">
      <c r="A101" t="s">
        <v>242</v>
      </c>
      <c r="B101" t="s">
        <v>197</v>
      </c>
      <c r="C101" t="s">
        <v>198</v>
      </c>
      <c r="D101" t="s">
        <v>0</v>
      </c>
      <c r="E101">
        <v>114.184</v>
      </c>
    </row>
    <row r="102" spans="1:5" x14ac:dyDescent="0.35">
      <c r="A102" t="s">
        <v>242</v>
      </c>
      <c r="B102" t="s">
        <v>199</v>
      </c>
      <c r="C102" t="s">
        <v>200</v>
      </c>
      <c r="D102" t="s">
        <v>201</v>
      </c>
      <c r="E102">
        <v>4.1180000000000003</v>
      </c>
    </row>
    <row r="103" spans="1:5" x14ac:dyDescent="0.35">
      <c r="A103" t="s">
        <v>243</v>
      </c>
      <c r="B103" t="s">
        <v>197</v>
      </c>
      <c r="C103" t="s">
        <v>198</v>
      </c>
      <c r="D103" t="s">
        <v>0</v>
      </c>
      <c r="E103">
        <v>1730.153</v>
      </c>
    </row>
    <row r="104" spans="1:5" x14ac:dyDescent="0.35">
      <c r="A104" t="s">
        <v>243</v>
      </c>
      <c r="B104" t="s">
        <v>199</v>
      </c>
      <c r="C104" t="s">
        <v>200</v>
      </c>
      <c r="D104" t="s">
        <v>201</v>
      </c>
      <c r="E104">
        <v>114.473</v>
      </c>
    </row>
    <row r="105" spans="1:5" x14ac:dyDescent="0.35">
      <c r="A105" t="s">
        <v>244</v>
      </c>
      <c r="B105" t="s">
        <v>197</v>
      </c>
      <c r="C105" t="s">
        <v>198</v>
      </c>
      <c r="D105" t="s">
        <v>0</v>
      </c>
      <c r="E105">
        <v>10.417</v>
      </c>
    </row>
    <row r="106" spans="1:5" x14ac:dyDescent="0.35">
      <c r="A106" t="s">
        <v>244</v>
      </c>
      <c r="B106" t="s">
        <v>199</v>
      </c>
      <c r="C106" t="s">
        <v>200</v>
      </c>
      <c r="D106" t="s">
        <v>201</v>
      </c>
      <c r="E106">
        <v>2.597</v>
      </c>
    </row>
    <row r="107" spans="1:5" x14ac:dyDescent="0.35">
      <c r="A107" t="s">
        <v>245</v>
      </c>
      <c r="B107" t="s">
        <v>197</v>
      </c>
      <c r="C107" t="s">
        <v>198</v>
      </c>
      <c r="D107" t="s">
        <v>0</v>
      </c>
      <c r="E107">
        <v>125.83199999999999</v>
      </c>
    </row>
    <row r="108" spans="1:5" x14ac:dyDescent="0.35">
      <c r="A108" t="s">
        <v>245</v>
      </c>
      <c r="B108" t="s">
        <v>199</v>
      </c>
      <c r="C108" t="s">
        <v>200</v>
      </c>
      <c r="D108" t="s">
        <v>201</v>
      </c>
      <c r="E108">
        <v>6.8079999999999998</v>
      </c>
    </row>
    <row r="109" spans="1:5" x14ac:dyDescent="0.35">
      <c r="A109" t="s">
        <v>246</v>
      </c>
      <c r="B109" t="s">
        <v>197</v>
      </c>
      <c r="C109" t="s">
        <v>198</v>
      </c>
      <c r="D109" t="s">
        <v>0</v>
      </c>
      <c r="E109">
        <v>57.076999999999998</v>
      </c>
    </row>
    <row r="110" spans="1:5" x14ac:dyDescent="0.35">
      <c r="A110" t="s">
        <v>246</v>
      </c>
      <c r="B110" t="s">
        <v>199</v>
      </c>
      <c r="C110" t="s">
        <v>200</v>
      </c>
      <c r="D110" t="s">
        <v>201</v>
      </c>
      <c r="E110">
        <v>1.2010000000000001</v>
      </c>
    </row>
    <row r="111" spans="1:5" x14ac:dyDescent="0.35">
      <c r="A111" t="s">
        <v>247</v>
      </c>
      <c r="B111" t="s">
        <v>197</v>
      </c>
      <c r="C111" t="s">
        <v>198</v>
      </c>
      <c r="D111" t="s">
        <v>0</v>
      </c>
      <c r="E111">
        <v>4.2530000000000001</v>
      </c>
    </row>
    <row r="112" spans="1:5" x14ac:dyDescent="0.35">
      <c r="A112" t="s">
        <v>247</v>
      </c>
      <c r="B112" t="s">
        <v>199</v>
      </c>
      <c r="C112" t="s">
        <v>200</v>
      </c>
      <c r="D112" t="s">
        <v>201</v>
      </c>
      <c r="E112">
        <v>0.89100000000000001</v>
      </c>
    </row>
    <row r="113" spans="1:5" x14ac:dyDescent="0.35">
      <c r="A113" t="s">
        <v>248</v>
      </c>
      <c r="B113" t="s">
        <v>197</v>
      </c>
      <c r="C113" t="s">
        <v>198</v>
      </c>
      <c r="D113" t="s">
        <v>0</v>
      </c>
      <c r="E113">
        <v>142.518</v>
      </c>
    </row>
    <row r="114" spans="1:5" x14ac:dyDescent="0.35">
      <c r="A114" t="s">
        <v>248</v>
      </c>
      <c r="B114" t="s">
        <v>199</v>
      </c>
      <c r="C114" t="s">
        <v>200</v>
      </c>
      <c r="D114" t="s">
        <v>201</v>
      </c>
      <c r="E114">
        <v>1.0109999999999999</v>
      </c>
    </row>
    <row r="115" spans="1:5" x14ac:dyDescent="0.35">
      <c r="A115" t="s">
        <v>118</v>
      </c>
      <c r="B115" t="s">
        <v>197</v>
      </c>
      <c r="C115" t="s">
        <v>198</v>
      </c>
      <c r="D115" t="s">
        <v>0</v>
      </c>
      <c r="E115">
        <v>1558.5250000000001</v>
      </c>
    </row>
    <row r="116" spans="1:5" x14ac:dyDescent="0.35">
      <c r="A116" t="s">
        <v>118</v>
      </c>
      <c r="B116" t="s">
        <v>199</v>
      </c>
      <c r="C116" t="s">
        <v>200</v>
      </c>
      <c r="D116" t="s">
        <v>201</v>
      </c>
      <c r="E116">
        <v>0.95799999999999996</v>
      </c>
    </row>
    <row r="117" spans="1:5" x14ac:dyDescent="0.35">
      <c r="A117" t="s">
        <v>249</v>
      </c>
      <c r="B117" t="s">
        <v>197</v>
      </c>
      <c r="C117" t="s">
        <v>198</v>
      </c>
      <c r="D117" t="s">
        <v>0</v>
      </c>
      <c r="E117">
        <v>3520.4609999999998</v>
      </c>
    </row>
    <row r="118" spans="1:5" x14ac:dyDescent="0.35">
      <c r="A118" t="s">
        <v>249</v>
      </c>
      <c r="B118" t="s">
        <v>199</v>
      </c>
      <c r="C118" t="s">
        <v>200</v>
      </c>
      <c r="D118" t="s">
        <v>201</v>
      </c>
      <c r="E118">
        <v>412.93299999999999</v>
      </c>
    </row>
    <row r="119" spans="1:5" x14ac:dyDescent="0.35">
      <c r="A119" t="s">
        <v>250</v>
      </c>
      <c r="B119" t="s">
        <v>197</v>
      </c>
      <c r="C119" t="s">
        <v>198</v>
      </c>
      <c r="D119" t="s">
        <v>0</v>
      </c>
      <c r="E119">
        <v>10.006</v>
      </c>
    </row>
    <row r="120" spans="1:5" x14ac:dyDescent="0.35">
      <c r="A120" t="s">
        <v>250</v>
      </c>
      <c r="B120" t="s">
        <v>199</v>
      </c>
      <c r="C120" t="s">
        <v>200</v>
      </c>
      <c r="D120" t="s">
        <v>201</v>
      </c>
      <c r="E120">
        <v>3.464</v>
      </c>
    </row>
    <row r="121" spans="1:5" x14ac:dyDescent="0.35">
      <c r="A121" t="s">
        <v>251</v>
      </c>
      <c r="B121" t="s">
        <v>197</v>
      </c>
      <c r="C121" t="s">
        <v>198</v>
      </c>
      <c r="D121" t="s">
        <v>0</v>
      </c>
      <c r="E121">
        <v>8.5649999999999995</v>
      </c>
    </row>
    <row r="122" spans="1:5" x14ac:dyDescent="0.35">
      <c r="A122" t="s">
        <v>251</v>
      </c>
      <c r="B122" t="s">
        <v>199</v>
      </c>
      <c r="C122" t="s">
        <v>200</v>
      </c>
      <c r="D122" t="s">
        <v>201</v>
      </c>
      <c r="E122">
        <v>0.65800000000000003</v>
      </c>
    </row>
    <row r="123" spans="1:5" x14ac:dyDescent="0.35">
      <c r="A123" t="s">
        <v>119</v>
      </c>
      <c r="B123" t="s">
        <v>197</v>
      </c>
      <c r="C123" t="s">
        <v>198</v>
      </c>
      <c r="D123" t="s">
        <v>0</v>
      </c>
      <c r="E123">
        <v>2128.1999999999998</v>
      </c>
    </row>
    <row r="124" spans="1:5" x14ac:dyDescent="0.35">
      <c r="A124" t="s">
        <v>119</v>
      </c>
      <c r="B124" t="s">
        <v>199</v>
      </c>
      <c r="C124" t="s">
        <v>200</v>
      </c>
      <c r="D124" t="s">
        <v>201</v>
      </c>
      <c r="E124">
        <v>0.94399999999999995</v>
      </c>
    </row>
    <row r="125" spans="1:5" x14ac:dyDescent="0.35">
      <c r="A125" t="s">
        <v>252</v>
      </c>
      <c r="B125" t="s">
        <v>197</v>
      </c>
      <c r="C125" t="s">
        <v>198</v>
      </c>
      <c r="D125" t="s">
        <v>0</v>
      </c>
      <c r="E125">
        <v>66157.7</v>
      </c>
    </row>
    <row r="126" spans="1:5" x14ac:dyDescent="0.35">
      <c r="A126" t="s">
        <v>252</v>
      </c>
      <c r="B126" t="s">
        <v>199</v>
      </c>
      <c r="C126" t="s">
        <v>200</v>
      </c>
      <c r="D126" t="s">
        <v>201</v>
      </c>
      <c r="E126">
        <v>1441.664</v>
      </c>
    </row>
    <row r="127" spans="1:5" x14ac:dyDescent="0.35">
      <c r="A127" t="s">
        <v>253</v>
      </c>
      <c r="B127" t="s">
        <v>197</v>
      </c>
      <c r="C127" t="s">
        <v>198</v>
      </c>
      <c r="D127" t="s">
        <v>0</v>
      </c>
      <c r="E127">
        <v>152.572</v>
      </c>
    </row>
    <row r="128" spans="1:5" x14ac:dyDescent="0.35">
      <c r="A128" t="s">
        <v>253</v>
      </c>
      <c r="B128" t="s">
        <v>199</v>
      </c>
      <c r="C128" t="s">
        <v>200</v>
      </c>
      <c r="D128" t="s">
        <v>201</v>
      </c>
      <c r="E128">
        <v>0.74299999999999999</v>
      </c>
    </row>
    <row r="129" spans="1:5" x14ac:dyDescent="0.35">
      <c r="A129" t="s">
        <v>254</v>
      </c>
      <c r="B129" t="s">
        <v>197</v>
      </c>
      <c r="C129" t="s">
        <v>198</v>
      </c>
      <c r="D129" t="s">
        <v>0</v>
      </c>
      <c r="E129">
        <v>1.1319999999999999</v>
      </c>
    </row>
    <row r="130" spans="1:5" x14ac:dyDescent="0.35">
      <c r="A130" t="s">
        <v>254</v>
      </c>
      <c r="B130" t="s">
        <v>199</v>
      </c>
      <c r="C130" t="s">
        <v>200</v>
      </c>
      <c r="D130" t="s">
        <v>201</v>
      </c>
      <c r="E130">
        <v>1.496</v>
      </c>
    </row>
    <row r="131" spans="1:5" x14ac:dyDescent="0.35">
      <c r="A131" t="s">
        <v>255</v>
      </c>
      <c r="B131" t="s">
        <v>197</v>
      </c>
      <c r="C131" t="s">
        <v>198</v>
      </c>
      <c r="D131" t="s">
        <v>0</v>
      </c>
      <c r="E131">
        <v>196.39599999999999</v>
      </c>
    </row>
    <row r="132" spans="1:5" x14ac:dyDescent="0.35">
      <c r="A132" t="s">
        <v>255</v>
      </c>
      <c r="B132" t="s">
        <v>199</v>
      </c>
      <c r="C132" t="s">
        <v>200</v>
      </c>
      <c r="D132" t="s">
        <v>201</v>
      </c>
      <c r="E132">
        <v>3.915</v>
      </c>
    </row>
    <row r="133" spans="1:5" x14ac:dyDescent="0.35">
      <c r="A133" t="s">
        <v>256</v>
      </c>
      <c r="B133" t="s">
        <v>197</v>
      </c>
      <c r="C133" t="s">
        <v>198</v>
      </c>
      <c r="D133" t="s">
        <v>0</v>
      </c>
      <c r="E133">
        <v>7209.8040000000001</v>
      </c>
    </row>
    <row r="134" spans="1:5" x14ac:dyDescent="0.35">
      <c r="A134" t="s">
        <v>256</v>
      </c>
      <c r="B134" t="s">
        <v>199</v>
      </c>
      <c r="C134" t="s">
        <v>200</v>
      </c>
      <c r="D134" t="s">
        <v>201</v>
      </c>
      <c r="E134">
        <v>408.34500000000003</v>
      </c>
    </row>
    <row r="135" spans="1:5" x14ac:dyDescent="0.35">
      <c r="A135" t="s">
        <v>257</v>
      </c>
      <c r="B135" t="s">
        <v>197</v>
      </c>
      <c r="C135" t="s">
        <v>198</v>
      </c>
      <c r="D135" t="s">
        <v>0</v>
      </c>
      <c r="E135">
        <v>138.69800000000001</v>
      </c>
    </row>
    <row r="136" spans="1:5" x14ac:dyDescent="0.35">
      <c r="A136" t="s">
        <v>257</v>
      </c>
      <c r="B136" t="s">
        <v>199</v>
      </c>
      <c r="C136" t="s">
        <v>200</v>
      </c>
      <c r="D136" t="s">
        <v>201</v>
      </c>
      <c r="E136">
        <v>144.18199999999999</v>
      </c>
    </row>
    <row r="137" spans="1:5" x14ac:dyDescent="0.35">
      <c r="A137" t="s">
        <v>258</v>
      </c>
      <c r="B137" t="s">
        <v>197</v>
      </c>
      <c r="C137" t="s">
        <v>198</v>
      </c>
      <c r="D137" t="s">
        <v>0</v>
      </c>
      <c r="E137">
        <v>143.1</v>
      </c>
    </row>
    <row r="138" spans="1:5" x14ac:dyDescent="0.35">
      <c r="A138" t="s">
        <v>258</v>
      </c>
      <c r="B138" t="s">
        <v>199</v>
      </c>
      <c r="C138" t="s">
        <v>200</v>
      </c>
      <c r="D138" t="s">
        <v>201</v>
      </c>
      <c r="E138">
        <v>43.213000000000001</v>
      </c>
    </row>
    <row r="139" spans="1:5" x14ac:dyDescent="0.35">
      <c r="A139" t="s">
        <v>259</v>
      </c>
      <c r="B139" t="s">
        <v>197</v>
      </c>
      <c r="C139" t="s">
        <v>198</v>
      </c>
      <c r="D139" t="s">
        <v>0</v>
      </c>
      <c r="E139">
        <v>118.169</v>
      </c>
    </row>
    <row r="140" spans="1:5" x14ac:dyDescent="0.35">
      <c r="A140" t="s">
        <v>259</v>
      </c>
      <c r="B140" t="s">
        <v>199</v>
      </c>
      <c r="C140" t="s">
        <v>200</v>
      </c>
      <c r="D140" t="s">
        <v>201</v>
      </c>
      <c r="E140">
        <v>8.56</v>
      </c>
    </row>
    <row r="141" spans="1:5" x14ac:dyDescent="0.35">
      <c r="A141" t="s">
        <v>260</v>
      </c>
      <c r="B141" t="s">
        <v>197</v>
      </c>
      <c r="C141" t="s">
        <v>198</v>
      </c>
      <c r="D141" t="s">
        <v>0</v>
      </c>
      <c r="E141">
        <v>120.556</v>
      </c>
    </row>
    <row r="142" spans="1:5" x14ac:dyDescent="0.35">
      <c r="A142" t="s">
        <v>260</v>
      </c>
      <c r="B142" t="s">
        <v>199</v>
      </c>
      <c r="C142" t="s">
        <v>200</v>
      </c>
      <c r="D142" t="s">
        <v>201</v>
      </c>
      <c r="E142">
        <v>6.7450000000000001</v>
      </c>
    </row>
    <row r="143" spans="1:5" x14ac:dyDescent="0.35">
      <c r="A143" t="s">
        <v>261</v>
      </c>
      <c r="B143" t="s">
        <v>197</v>
      </c>
      <c r="C143" t="s">
        <v>198</v>
      </c>
      <c r="D143" t="s">
        <v>0</v>
      </c>
      <c r="E143">
        <v>1219.8499999999999</v>
      </c>
    </row>
    <row r="144" spans="1:5" x14ac:dyDescent="0.35">
      <c r="A144" t="s">
        <v>261</v>
      </c>
      <c r="B144" t="s">
        <v>199</v>
      </c>
      <c r="C144" t="s">
        <v>200</v>
      </c>
      <c r="D144" t="s">
        <v>201</v>
      </c>
      <c r="E144">
        <v>6.6660000000000004</v>
      </c>
    </row>
    <row r="145" spans="1:5" x14ac:dyDescent="0.35">
      <c r="A145" t="s">
        <v>187</v>
      </c>
      <c r="B145" t="s">
        <v>197</v>
      </c>
      <c r="C145" t="s">
        <v>198</v>
      </c>
      <c r="D145" t="s">
        <v>0</v>
      </c>
      <c r="E145">
        <v>18573.955999999998</v>
      </c>
    </row>
    <row r="146" spans="1:5" x14ac:dyDescent="0.35">
      <c r="A146" t="s">
        <v>187</v>
      </c>
      <c r="B146" t="s">
        <v>199</v>
      </c>
      <c r="C146" t="s">
        <v>200</v>
      </c>
      <c r="D146" t="s">
        <v>201</v>
      </c>
      <c r="E146">
        <v>128.67599999999999</v>
      </c>
    </row>
    <row r="147" spans="1:5" x14ac:dyDescent="0.35">
      <c r="A147" t="s">
        <v>262</v>
      </c>
      <c r="B147" t="s">
        <v>197</v>
      </c>
      <c r="C147" t="s">
        <v>198</v>
      </c>
      <c r="D147" t="s">
        <v>0</v>
      </c>
      <c r="E147">
        <v>806.43899999999996</v>
      </c>
    </row>
    <row r="148" spans="1:5" x14ac:dyDescent="0.35">
      <c r="A148" t="s">
        <v>262</v>
      </c>
      <c r="B148" t="s">
        <v>199</v>
      </c>
      <c r="C148" t="s">
        <v>200</v>
      </c>
      <c r="D148" t="s">
        <v>201</v>
      </c>
      <c r="E148">
        <v>93.016000000000005</v>
      </c>
    </row>
    <row r="149" spans="1:5" x14ac:dyDescent="0.35">
      <c r="A149" t="s">
        <v>138</v>
      </c>
      <c r="B149" t="s">
        <v>197</v>
      </c>
      <c r="C149" t="s">
        <v>198</v>
      </c>
      <c r="D149" t="s">
        <v>0</v>
      </c>
      <c r="E149">
        <v>27004.216</v>
      </c>
    </row>
    <row r="150" spans="1:5" x14ac:dyDescent="0.35">
      <c r="A150" t="s">
        <v>138</v>
      </c>
      <c r="B150" t="s">
        <v>199</v>
      </c>
      <c r="C150" t="s">
        <v>200</v>
      </c>
      <c r="D150" t="s">
        <v>201</v>
      </c>
      <c r="E150">
        <v>9.1859999999999999</v>
      </c>
    </row>
    <row r="151" spans="1:5" x14ac:dyDescent="0.35">
      <c r="A151" t="s">
        <v>139</v>
      </c>
      <c r="B151" t="s">
        <v>197</v>
      </c>
      <c r="C151" t="s">
        <v>198</v>
      </c>
      <c r="D151" t="s">
        <v>0</v>
      </c>
      <c r="E151">
        <v>1786690.9</v>
      </c>
    </row>
    <row r="152" spans="1:5" x14ac:dyDescent="0.35">
      <c r="A152" t="s">
        <v>139</v>
      </c>
      <c r="B152" t="s">
        <v>199</v>
      </c>
      <c r="C152" t="s">
        <v>200</v>
      </c>
      <c r="D152" t="s">
        <v>201</v>
      </c>
      <c r="E152">
        <v>2430.7849999999999</v>
      </c>
    </row>
    <row r="153" spans="1:5" x14ac:dyDescent="0.35">
      <c r="A153" t="s">
        <v>263</v>
      </c>
      <c r="B153" t="s">
        <v>197</v>
      </c>
      <c r="C153" t="s">
        <v>198</v>
      </c>
      <c r="D153" t="s">
        <v>0</v>
      </c>
      <c r="E153">
        <v>1143516.9890000001</v>
      </c>
    </row>
    <row r="154" spans="1:5" x14ac:dyDescent="0.35">
      <c r="A154" t="s">
        <v>263</v>
      </c>
      <c r="B154" t="s">
        <v>199</v>
      </c>
      <c r="C154" t="s">
        <v>200</v>
      </c>
      <c r="D154" t="s">
        <v>201</v>
      </c>
      <c r="E154">
        <v>2293.2779999999998</v>
      </c>
    </row>
    <row r="155" spans="1:5" x14ac:dyDescent="0.35">
      <c r="A155" t="s">
        <v>264</v>
      </c>
      <c r="B155" t="s">
        <v>197</v>
      </c>
      <c r="C155" t="s">
        <v>198</v>
      </c>
      <c r="D155" t="s">
        <v>0</v>
      </c>
      <c r="E155">
        <v>134.786</v>
      </c>
    </row>
    <row r="156" spans="1:5" x14ac:dyDescent="0.35">
      <c r="A156" t="s">
        <v>264</v>
      </c>
      <c r="B156" t="s">
        <v>199</v>
      </c>
      <c r="C156" t="s">
        <v>200</v>
      </c>
      <c r="D156" t="s">
        <v>201</v>
      </c>
      <c r="E156">
        <v>0.97</v>
      </c>
    </row>
    <row r="157" spans="1:5" x14ac:dyDescent="0.35">
      <c r="A157" t="s">
        <v>265</v>
      </c>
      <c r="B157" t="s">
        <v>197</v>
      </c>
      <c r="C157" t="s">
        <v>198</v>
      </c>
      <c r="D157" t="s">
        <v>0</v>
      </c>
      <c r="E157">
        <v>496.18599999999998</v>
      </c>
    </row>
    <row r="158" spans="1:5" x14ac:dyDescent="0.35">
      <c r="A158" t="s">
        <v>265</v>
      </c>
      <c r="B158" t="s">
        <v>199</v>
      </c>
      <c r="C158" t="s">
        <v>200</v>
      </c>
      <c r="D158" t="s">
        <v>201</v>
      </c>
      <c r="E158">
        <v>3.7010000000000001</v>
      </c>
    </row>
    <row r="159" spans="1:5" x14ac:dyDescent="0.35">
      <c r="A159" t="s">
        <v>122</v>
      </c>
      <c r="B159" t="s">
        <v>197</v>
      </c>
      <c r="C159" t="s">
        <v>198</v>
      </c>
      <c r="D159" t="s">
        <v>0</v>
      </c>
      <c r="E159">
        <v>1300.9259999999999</v>
      </c>
    </row>
    <row r="160" spans="1:5" x14ac:dyDescent="0.35">
      <c r="A160" t="s">
        <v>122</v>
      </c>
      <c r="B160" t="s">
        <v>199</v>
      </c>
      <c r="C160" t="s">
        <v>200</v>
      </c>
      <c r="D160" t="s">
        <v>201</v>
      </c>
      <c r="E160">
        <v>0.84499999999999997</v>
      </c>
    </row>
    <row r="161" spans="1:5" x14ac:dyDescent="0.35">
      <c r="A161" t="s">
        <v>266</v>
      </c>
      <c r="B161" t="s">
        <v>197</v>
      </c>
      <c r="C161" t="s">
        <v>198</v>
      </c>
      <c r="D161" t="s">
        <v>0</v>
      </c>
      <c r="E161">
        <v>439.50400000000002</v>
      </c>
    </row>
    <row r="162" spans="1:5" x14ac:dyDescent="0.35">
      <c r="A162" t="s">
        <v>266</v>
      </c>
      <c r="B162" t="s">
        <v>199</v>
      </c>
      <c r="C162" t="s">
        <v>200</v>
      </c>
      <c r="D162" t="s">
        <v>201</v>
      </c>
      <c r="E162">
        <v>42.075000000000003</v>
      </c>
    </row>
    <row r="163" spans="1:5" x14ac:dyDescent="0.35">
      <c r="A163" t="s">
        <v>140</v>
      </c>
      <c r="B163" t="s">
        <v>197</v>
      </c>
      <c r="C163" t="s">
        <v>198</v>
      </c>
      <c r="D163" t="s">
        <v>0</v>
      </c>
      <c r="E163">
        <v>498072.07500000001</v>
      </c>
    </row>
    <row r="164" spans="1:5" x14ac:dyDescent="0.35">
      <c r="A164" t="s">
        <v>140</v>
      </c>
      <c r="B164" t="s">
        <v>199</v>
      </c>
      <c r="C164" t="s">
        <v>200</v>
      </c>
      <c r="D164" t="s">
        <v>201</v>
      </c>
      <c r="E164">
        <v>141.88999999999999</v>
      </c>
    </row>
    <row r="165" spans="1:5" x14ac:dyDescent="0.35">
      <c r="A165" t="s">
        <v>267</v>
      </c>
      <c r="B165" t="s">
        <v>197</v>
      </c>
      <c r="C165" t="s">
        <v>198</v>
      </c>
      <c r="D165" t="s">
        <v>0</v>
      </c>
      <c r="E165">
        <v>6.9909999999999997</v>
      </c>
    </row>
    <row r="166" spans="1:5" x14ac:dyDescent="0.35">
      <c r="A166" t="s">
        <v>267</v>
      </c>
      <c r="B166" t="s">
        <v>199</v>
      </c>
      <c r="C166" t="s">
        <v>200</v>
      </c>
      <c r="D166" t="s">
        <v>201</v>
      </c>
      <c r="E166">
        <v>0.30599999999999999</v>
      </c>
    </row>
    <row r="167" spans="1:5" x14ac:dyDescent="0.35">
      <c r="A167" t="s">
        <v>127</v>
      </c>
      <c r="B167" t="s">
        <v>197</v>
      </c>
      <c r="C167" t="s">
        <v>198</v>
      </c>
      <c r="D167" t="s">
        <v>0</v>
      </c>
      <c r="E167">
        <v>4449.8</v>
      </c>
    </row>
    <row r="168" spans="1:5" x14ac:dyDescent="0.35">
      <c r="A168" t="s">
        <v>127</v>
      </c>
      <c r="B168" t="s">
        <v>199</v>
      </c>
      <c r="C168" t="s">
        <v>200</v>
      </c>
      <c r="D168" t="s">
        <v>201</v>
      </c>
      <c r="E168">
        <v>44.372</v>
      </c>
    </row>
    <row r="169" spans="1:5" x14ac:dyDescent="0.35">
      <c r="A169" t="s">
        <v>268</v>
      </c>
      <c r="B169" t="s">
        <v>197</v>
      </c>
      <c r="C169" t="s">
        <v>198</v>
      </c>
      <c r="D169" t="s">
        <v>0</v>
      </c>
      <c r="E169">
        <v>1060.96</v>
      </c>
    </row>
    <row r="170" spans="1:5" x14ac:dyDescent="0.35">
      <c r="A170" t="s">
        <v>268</v>
      </c>
      <c r="B170" t="s">
        <v>199</v>
      </c>
      <c r="C170" t="s">
        <v>200</v>
      </c>
      <c r="D170" t="s">
        <v>201</v>
      </c>
      <c r="E170">
        <v>33.009</v>
      </c>
    </row>
    <row r="171" spans="1:5" x14ac:dyDescent="0.35">
      <c r="A171" t="s">
        <v>269</v>
      </c>
      <c r="B171" t="s">
        <v>197</v>
      </c>
      <c r="C171" t="s">
        <v>198</v>
      </c>
      <c r="D171" t="s">
        <v>0</v>
      </c>
      <c r="E171">
        <v>0.10299999999999999</v>
      </c>
    </row>
    <row r="172" spans="1:5" x14ac:dyDescent="0.35">
      <c r="A172" t="s">
        <v>269</v>
      </c>
      <c r="B172" t="s">
        <v>199</v>
      </c>
      <c r="C172" t="s">
        <v>200</v>
      </c>
      <c r="D172" t="s">
        <v>201</v>
      </c>
      <c r="E172">
        <v>0.46500000000000002</v>
      </c>
    </row>
    <row r="173" spans="1:5" x14ac:dyDescent="0.35">
      <c r="A173" t="s">
        <v>270</v>
      </c>
      <c r="B173" t="s">
        <v>197</v>
      </c>
      <c r="C173" t="s">
        <v>198</v>
      </c>
      <c r="D173" t="s">
        <v>0</v>
      </c>
      <c r="E173">
        <v>721345.9</v>
      </c>
    </row>
    <row r="174" spans="1:5" x14ac:dyDescent="0.35">
      <c r="A174" t="s">
        <v>270</v>
      </c>
      <c r="B174" t="s">
        <v>199</v>
      </c>
      <c r="C174" t="s">
        <v>200</v>
      </c>
      <c r="D174" t="s">
        <v>201</v>
      </c>
      <c r="E174">
        <v>738.93600000000004</v>
      </c>
    </row>
    <row r="175" spans="1:5" x14ac:dyDescent="0.35">
      <c r="A175" t="s">
        <v>271</v>
      </c>
      <c r="B175" t="s">
        <v>197</v>
      </c>
      <c r="C175" t="s">
        <v>198</v>
      </c>
      <c r="D175" t="s">
        <v>0</v>
      </c>
      <c r="E175">
        <v>12.441000000000001</v>
      </c>
    </row>
    <row r="176" spans="1:5" x14ac:dyDescent="0.35">
      <c r="A176" t="s">
        <v>271</v>
      </c>
      <c r="B176" t="s">
        <v>199</v>
      </c>
      <c r="C176" t="s">
        <v>200</v>
      </c>
      <c r="D176" t="s">
        <v>201</v>
      </c>
      <c r="E176">
        <v>0.33300000000000002</v>
      </c>
    </row>
    <row r="177" spans="1:5" x14ac:dyDescent="0.35">
      <c r="A177" t="s">
        <v>272</v>
      </c>
      <c r="B177" t="s">
        <v>197</v>
      </c>
      <c r="C177" t="s">
        <v>198</v>
      </c>
      <c r="D177" t="s">
        <v>0</v>
      </c>
      <c r="E177">
        <v>83.421000000000006</v>
      </c>
    </row>
    <row r="178" spans="1:5" x14ac:dyDescent="0.35">
      <c r="A178" t="s">
        <v>272</v>
      </c>
      <c r="B178" t="s">
        <v>199</v>
      </c>
      <c r="C178" t="s">
        <v>200</v>
      </c>
      <c r="D178" t="s">
        <v>201</v>
      </c>
      <c r="E178">
        <v>9.343</v>
      </c>
    </row>
    <row r="179" spans="1:5" x14ac:dyDescent="0.35">
      <c r="A179" t="s">
        <v>273</v>
      </c>
      <c r="B179" t="s">
        <v>197</v>
      </c>
      <c r="C179" t="s">
        <v>198</v>
      </c>
      <c r="D179" t="s">
        <v>0</v>
      </c>
      <c r="E179">
        <v>22415.4</v>
      </c>
    </row>
    <row r="180" spans="1:5" x14ac:dyDescent="0.35">
      <c r="A180" t="s">
        <v>273</v>
      </c>
      <c r="B180" t="s">
        <v>199</v>
      </c>
      <c r="C180" t="s">
        <v>200</v>
      </c>
      <c r="D180" t="s">
        <v>201</v>
      </c>
      <c r="E180">
        <v>2116.4259999999999</v>
      </c>
    </row>
    <row r="181" spans="1:5" x14ac:dyDescent="0.35">
      <c r="A181" t="s">
        <v>274</v>
      </c>
      <c r="B181" t="s">
        <v>197</v>
      </c>
      <c r="C181" t="s">
        <v>198</v>
      </c>
      <c r="D181" t="s">
        <v>0</v>
      </c>
      <c r="E181">
        <v>6.3220000000000001</v>
      </c>
    </row>
    <row r="182" spans="1:5" x14ac:dyDescent="0.35">
      <c r="A182" t="s">
        <v>274</v>
      </c>
      <c r="B182" t="s">
        <v>199</v>
      </c>
      <c r="C182" t="s">
        <v>200</v>
      </c>
      <c r="D182" t="s">
        <v>201</v>
      </c>
      <c r="E182">
        <v>0.249</v>
      </c>
    </row>
    <row r="183" spans="1:5" x14ac:dyDescent="0.35">
      <c r="A183" t="s">
        <v>275</v>
      </c>
      <c r="B183" t="s">
        <v>197</v>
      </c>
      <c r="C183" t="s">
        <v>198</v>
      </c>
      <c r="D183" t="s">
        <v>0</v>
      </c>
      <c r="E183">
        <v>27199</v>
      </c>
    </row>
    <row r="184" spans="1:5" x14ac:dyDescent="0.35">
      <c r="A184" t="s">
        <v>275</v>
      </c>
      <c r="B184" t="s">
        <v>199</v>
      </c>
      <c r="C184" t="s">
        <v>200</v>
      </c>
      <c r="D184" t="s">
        <v>201</v>
      </c>
      <c r="E184">
        <v>1364.88</v>
      </c>
    </row>
    <row r="185" spans="1:5" x14ac:dyDescent="0.35">
      <c r="A185" t="s">
        <v>276</v>
      </c>
      <c r="B185" t="s">
        <v>197</v>
      </c>
      <c r="C185" t="s">
        <v>198</v>
      </c>
      <c r="D185" t="s">
        <v>0</v>
      </c>
      <c r="E185">
        <v>8.5329999999999995</v>
      </c>
    </row>
    <row r="186" spans="1:5" x14ac:dyDescent="0.35">
      <c r="A186" t="s">
        <v>276</v>
      </c>
      <c r="B186" t="s">
        <v>199</v>
      </c>
      <c r="C186" t="s">
        <v>200</v>
      </c>
      <c r="D186" t="s">
        <v>201</v>
      </c>
      <c r="E186">
        <v>1.86</v>
      </c>
    </row>
    <row r="187" spans="1:5" x14ac:dyDescent="0.35">
      <c r="A187" t="s">
        <v>277</v>
      </c>
      <c r="B187" t="s">
        <v>197</v>
      </c>
      <c r="C187" t="s">
        <v>198</v>
      </c>
      <c r="D187" t="s">
        <v>0</v>
      </c>
      <c r="E187">
        <v>31.196999999999999</v>
      </c>
    </row>
    <row r="188" spans="1:5" x14ac:dyDescent="0.35">
      <c r="A188" t="s">
        <v>277</v>
      </c>
      <c r="B188" t="s">
        <v>199</v>
      </c>
      <c r="C188" t="s">
        <v>200</v>
      </c>
      <c r="D188" t="s">
        <v>201</v>
      </c>
      <c r="E188">
        <v>0.52400000000000002</v>
      </c>
    </row>
    <row r="189" spans="1:5" x14ac:dyDescent="0.35">
      <c r="A189" t="s">
        <v>278</v>
      </c>
      <c r="B189" t="s">
        <v>197</v>
      </c>
      <c r="C189" t="s">
        <v>198</v>
      </c>
      <c r="D189" t="s">
        <v>0</v>
      </c>
      <c r="E189">
        <v>55.737000000000002</v>
      </c>
    </row>
    <row r="190" spans="1:5" x14ac:dyDescent="0.35">
      <c r="A190" t="s">
        <v>278</v>
      </c>
      <c r="B190" t="s">
        <v>199</v>
      </c>
      <c r="C190" t="s">
        <v>200</v>
      </c>
      <c r="D190" t="s">
        <v>201</v>
      </c>
      <c r="E190">
        <v>1.411</v>
      </c>
    </row>
    <row r="191" spans="1:5" x14ac:dyDescent="0.35">
      <c r="A191" t="s">
        <v>279</v>
      </c>
      <c r="B191" t="s">
        <v>197</v>
      </c>
      <c r="C191" t="s">
        <v>198</v>
      </c>
      <c r="D191" t="s">
        <v>0</v>
      </c>
      <c r="E191">
        <v>23.475999999999999</v>
      </c>
    </row>
    <row r="192" spans="1:5" x14ac:dyDescent="0.35">
      <c r="A192" t="s">
        <v>279</v>
      </c>
      <c r="B192" t="s">
        <v>199</v>
      </c>
      <c r="C192" t="s">
        <v>200</v>
      </c>
      <c r="D192" t="s">
        <v>201</v>
      </c>
      <c r="E192">
        <v>0.84599999999999997</v>
      </c>
    </row>
    <row r="193" spans="1:5" x14ac:dyDescent="0.35">
      <c r="A193" t="s">
        <v>280</v>
      </c>
      <c r="B193" t="s">
        <v>197</v>
      </c>
      <c r="C193" t="s">
        <v>198</v>
      </c>
      <c r="D193" t="s">
        <v>0</v>
      </c>
      <c r="E193">
        <v>254.37200000000001</v>
      </c>
    </row>
    <row r="194" spans="1:5" x14ac:dyDescent="0.35">
      <c r="A194" t="s">
        <v>280</v>
      </c>
      <c r="B194" t="s">
        <v>199</v>
      </c>
      <c r="C194" t="s">
        <v>200</v>
      </c>
      <c r="D194" t="s">
        <v>201</v>
      </c>
      <c r="E194">
        <v>18.555</v>
      </c>
    </row>
    <row r="195" spans="1:5" x14ac:dyDescent="0.35">
      <c r="A195" t="s">
        <v>281</v>
      </c>
      <c r="B195" t="s">
        <v>197</v>
      </c>
      <c r="C195" t="s">
        <v>198</v>
      </c>
      <c r="D195" t="s">
        <v>0</v>
      </c>
      <c r="E195">
        <v>33893.214999999997</v>
      </c>
    </row>
    <row r="196" spans="1:5" x14ac:dyDescent="0.35">
      <c r="A196" t="s">
        <v>281</v>
      </c>
      <c r="B196" t="s">
        <v>199</v>
      </c>
      <c r="C196" t="s">
        <v>200</v>
      </c>
      <c r="D196" t="s">
        <v>201</v>
      </c>
      <c r="E196">
        <v>2588.0369999999998</v>
      </c>
    </row>
    <row r="197" spans="1:5" x14ac:dyDescent="0.35">
      <c r="A197" t="s">
        <v>282</v>
      </c>
      <c r="B197" t="s">
        <v>197</v>
      </c>
      <c r="C197" t="s">
        <v>198</v>
      </c>
      <c r="D197" t="s">
        <v>0</v>
      </c>
      <c r="E197">
        <v>167.422</v>
      </c>
    </row>
    <row r="198" spans="1:5" x14ac:dyDescent="0.35">
      <c r="A198" t="s">
        <v>282</v>
      </c>
      <c r="B198" t="s">
        <v>199</v>
      </c>
      <c r="C198" t="s">
        <v>200</v>
      </c>
      <c r="D198" t="s">
        <v>201</v>
      </c>
      <c r="E198">
        <v>23.678999999999998</v>
      </c>
    </row>
    <row r="199" spans="1:5" x14ac:dyDescent="0.35">
      <c r="A199" t="s">
        <v>283</v>
      </c>
      <c r="B199" t="s">
        <v>197</v>
      </c>
      <c r="C199" t="s">
        <v>198</v>
      </c>
      <c r="D199" t="s">
        <v>0</v>
      </c>
      <c r="E199">
        <v>394.2</v>
      </c>
    </row>
    <row r="200" spans="1:5" x14ac:dyDescent="0.35">
      <c r="A200" t="s">
        <v>283</v>
      </c>
      <c r="B200" t="s">
        <v>199</v>
      </c>
      <c r="C200" t="s">
        <v>200</v>
      </c>
      <c r="D200" t="s">
        <v>201</v>
      </c>
      <c r="E200">
        <v>1.6220000000000001</v>
      </c>
    </row>
    <row r="201" spans="1:5" x14ac:dyDescent="0.35">
      <c r="A201" t="s">
        <v>284</v>
      </c>
      <c r="B201" t="s">
        <v>197</v>
      </c>
      <c r="C201" t="s">
        <v>198</v>
      </c>
      <c r="D201" t="s">
        <v>0</v>
      </c>
      <c r="E201">
        <v>8.9060000000000006</v>
      </c>
    </row>
    <row r="202" spans="1:5" x14ac:dyDescent="0.35">
      <c r="A202" t="s">
        <v>284</v>
      </c>
      <c r="B202" t="s">
        <v>199</v>
      </c>
      <c r="C202" t="s">
        <v>200</v>
      </c>
      <c r="D202" t="s">
        <v>201</v>
      </c>
      <c r="E202">
        <v>4</v>
      </c>
    </row>
    <row r="203" spans="1:5" x14ac:dyDescent="0.35">
      <c r="A203" t="s">
        <v>285</v>
      </c>
      <c r="B203" t="s">
        <v>197</v>
      </c>
      <c r="C203" t="s">
        <v>198</v>
      </c>
      <c r="D203" t="s">
        <v>0</v>
      </c>
      <c r="E203">
        <v>2540.4870000000001</v>
      </c>
    </row>
    <row r="204" spans="1:5" x14ac:dyDescent="0.35">
      <c r="A204" t="s">
        <v>285</v>
      </c>
      <c r="B204" t="s">
        <v>199</v>
      </c>
      <c r="C204" t="s">
        <v>200</v>
      </c>
      <c r="D204" t="s">
        <v>201</v>
      </c>
      <c r="E204">
        <v>222.126</v>
      </c>
    </row>
    <row r="205" spans="1:5" x14ac:dyDescent="0.35">
      <c r="A205" t="s">
        <v>286</v>
      </c>
      <c r="B205" t="s">
        <v>197</v>
      </c>
      <c r="C205" t="s">
        <v>198</v>
      </c>
      <c r="D205" t="s">
        <v>0</v>
      </c>
      <c r="E205">
        <v>1.694</v>
      </c>
    </row>
    <row r="206" spans="1:5" x14ac:dyDescent="0.35">
      <c r="A206" t="s">
        <v>286</v>
      </c>
      <c r="B206" t="s">
        <v>199</v>
      </c>
      <c r="C206" t="s">
        <v>200</v>
      </c>
      <c r="D206" t="s">
        <v>201</v>
      </c>
      <c r="E206">
        <v>0.23400000000000001</v>
      </c>
    </row>
    <row r="207" spans="1:5" x14ac:dyDescent="0.35">
      <c r="A207" t="s">
        <v>287</v>
      </c>
      <c r="B207" t="s">
        <v>197</v>
      </c>
      <c r="C207" t="s">
        <v>198</v>
      </c>
      <c r="D207" t="s">
        <v>0</v>
      </c>
      <c r="E207">
        <v>296.86</v>
      </c>
    </row>
    <row r="208" spans="1:5" x14ac:dyDescent="0.35">
      <c r="A208" t="s">
        <v>287</v>
      </c>
      <c r="B208" t="s">
        <v>199</v>
      </c>
      <c r="C208" t="s">
        <v>200</v>
      </c>
      <c r="D208" t="s">
        <v>201</v>
      </c>
      <c r="E208">
        <v>56.405000000000001</v>
      </c>
    </row>
    <row r="209" spans="1:5" x14ac:dyDescent="0.35">
      <c r="A209" t="s">
        <v>288</v>
      </c>
      <c r="B209" t="s">
        <v>197</v>
      </c>
      <c r="C209" t="s">
        <v>198</v>
      </c>
      <c r="D209" t="s">
        <v>0</v>
      </c>
      <c r="E209">
        <v>148.96</v>
      </c>
    </row>
    <row r="210" spans="1:5" x14ac:dyDescent="0.35">
      <c r="A210" t="s">
        <v>288</v>
      </c>
      <c r="B210" t="s">
        <v>199</v>
      </c>
      <c r="C210" t="s">
        <v>200</v>
      </c>
      <c r="D210" t="s">
        <v>201</v>
      </c>
      <c r="E210">
        <v>10.888999999999999</v>
      </c>
    </row>
    <row r="211" spans="1:5" x14ac:dyDescent="0.35">
      <c r="A211" t="s">
        <v>111</v>
      </c>
      <c r="B211" t="s">
        <v>197</v>
      </c>
      <c r="C211" t="s">
        <v>198</v>
      </c>
      <c r="D211" t="s">
        <v>0</v>
      </c>
      <c r="E211">
        <v>6754.7730000000001</v>
      </c>
    </row>
    <row r="212" spans="1:5" x14ac:dyDescent="0.35">
      <c r="A212" t="s">
        <v>111</v>
      </c>
      <c r="B212" t="s">
        <v>199</v>
      </c>
      <c r="C212" t="s">
        <v>200</v>
      </c>
      <c r="D212" t="s">
        <v>201</v>
      </c>
      <c r="E212">
        <v>6.9820000000000002</v>
      </c>
    </row>
    <row r="213" spans="1:5" x14ac:dyDescent="0.35">
      <c r="A213" t="s">
        <v>289</v>
      </c>
      <c r="B213" t="s">
        <v>197</v>
      </c>
      <c r="C213" t="s">
        <v>198</v>
      </c>
      <c r="D213" t="s">
        <v>0</v>
      </c>
      <c r="E213">
        <v>27.297000000000001</v>
      </c>
    </row>
    <row r="214" spans="1:5" x14ac:dyDescent="0.35">
      <c r="A214" t="s">
        <v>289</v>
      </c>
      <c r="B214" t="s">
        <v>199</v>
      </c>
      <c r="C214" t="s">
        <v>200</v>
      </c>
      <c r="D214" t="s">
        <v>201</v>
      </c>
      <c r="E214">
        <v>3.645</v>
      </c>
    </row>
    <row r="215" spans="1:5" x14ac:dyDescent="0.35">
      <c r="A215" t="s">
        <v>290</v>
      </c>
      <c r="B215" t="s">
        <v>197</v>
      </c>
      <c r="C215" t="s">
        <v>198</v>
      </c>
      <c r="D215" t="s">
        <v>0</v>
      </c>
      <c r="E215">
        <v>1368.8009999999999</v>
      </c>
    </row>
    <row r="216" spans="1:5" x14ac:dyDescent="0.35">
      <c r="A216" t="s">
        <v>290</v>
      </c>
      <c r="B216" t="s">
        <v>199</v>
      </c>
      <c r="C216" t="s">
        <v>200</v>
      </c>
      <c r="D216" t="s">
        <v>201</v>
      </c>
      <c r="E216">
        <v>312.584</v>
      </c>
    </row>
    <row r="217" spans="1:5" x14ac:dyDescent="0.35">
      <c r="A217" t="s">
        <v>291</v>
      </c>
      <c r="B217" t="s">
        <v>197</v>
      </c>
      <c r="C217" t="s">
        <v>198</v>
      </c>
      <c r="D217" t="s">
        <v>0</v>
      </c>
      <c r="E217">
        <v>425.60199999999998</v>
      </c>
    </row>
    <row r="218" spans="1:5" x14ac:dyDescent="0.35">
      <c r="A218" t="s">
        <v>291</v>
      </c>
      <c r="B218" t="s">
        <v>199</v>
      </c>
      <c r="C218" t="s">
        <v>200</v>
      </c>
      <c r="D218" t="s">
        <v>201</v>
      </c>
      <c r="E218">
        <v>3.548</v>
      </c>
    </row>
    <row r="219" spans="1:5" x14ac:dyDescent="0.35">
      <c r="A219" t="s">
        <v>292</v>
      </c>
      <c r="B219" t="s">
        <v>197</v>
      </c>
      <c r="C219" t="s">
        <v>198</v>
      </c>
      <c r="D219" t="s">
        <v>0</v>
      </c>
      <c r="E219">
        <v>102753.2</v>
      </c>
    </row>
    <row r="220" spans="1:5" x14ac:dyDescent="0.35">
      <c r="A220" t="s">
        <v>292</v>
      </c>
      <c r="B220" t="s">
        <v>199</v>
      </c>
      <c r="C220" t="s">
        <v>200</v>
      </c>
      <c r="D220" t="s">
        <v>201</v>
      </c>
      <c r="E220">
        <v>4645.098</v>
      </c>
    </row>
    <row r="221" spans="1:5" x14ac:dyDescent="0.35">
      <c r="A221" t="s">
        <v>293</v>
      </c>
      <c r="B221" t="s">
        <v>197</v>
      </c>
      <c r="C221" t="s">
        <v>198</v>
      </c>
      <c r="D221" t="s">
        <v>0</v>
      </c>
      <c r="E221">
        <v>7572</v>
      </c>
    </row>
    <row r="222" spans="1:5" x14ac:dyDescent="0.35">
      <c r="A222" t="s">
        <v>293</v>
      </c>
      <c r="B222" t="s">
        <v>199</v>
      </c>
      <c r="C222" t="s">
        <v>200</v>
      </c>
      <c r="D222" t="s">
        <v>201</v>
      </c>
      <c r="E222">
        <v>118.605</v>
      </c>
    </row>
    <row r="223" spans="1:5" x14ac:dyDescent="0.35">
      <c r="A223" t="s">
        <v>294</v>
      </c>
      <c r="B223" t="s">
        <v>197</v>
      </c>
      <c r="C223" t="s">
        <v>198</v>
      </c>
      <c r="D223" t="s">
        <v>0</v>
      </c>
      <c r="E223">
        <v>32.308999999999997</v>
      </c>
    </row>
    <row r="224" spans="1:5" x14ac:dyDescent="0.35">
      <c r="A224" t="s">
        <v>294</v>
      </c>
      <c r="B224" t="s">
        <v>199</v>
      </c>
      <c r="C224" t="s">
        <v>200</v>
      </c>
      <c r="D224" t="s">
        <v>201</v>
      </c>
      <c r="E224">
        <v>2.7759999999999998</v>
      </c>
    </row>
    <row r="225" spans="1:5" x14ac:dyDescent="0.35">
      <c r="A225" t="s">
        <v>295</v>
      </c>
      <c r="B225" t="s">
        <v>197</v>
      </c>
      <c r="C225" t="s">
        <v>198</v>
      </c>
      <c r="D225" t="s">
        <v>0</v>
      </c>
      <c r="E225">
        <v>454.935</v>
      </c>
    </row>
    <row r="226" spans="1:5" x14ac:dyDescent="0.35">
      <c r="A226" t="s">
        <v>295</v>
      </c>
      <c r="B226" t="s">
        <v>199</v>
      </c>
      <c r="C226" t="s">
        <v>200</v>
      </c>
      <c r="D226" t="s">
        <v>201</v>
      </c>
      <c r="E226">
        <v>13.374000000000001</v>
      </c>
    </row>
    <row r="227" spans="1:5" x14ac:dyDescent="0.35">
      <c r="A227" t="s">
        <v>123</v>
      </c>
      <c r="B227" t="s">
        <v>197</v>
      </c>
      <c r="C227" t="s">
        <v>198</v>
      </c>
      <c r="D227" t="s">
        <v>0</v>
      </c>
      <c r="E227">
        <v>454.27600000000001</v>
      </c>
    </row>
    <row r="228" spans="1:5" x14ac:dyDescent="0.35">
      <c r="A228" t="s">
        <v>123</v>
      </c>
      <c r="B228" t="s">
        <v>199</v>
      </c>
      <c r="C228" t="s">
        <v>200</v>
      </c>
      <c r="D228" t="s">
        <v>201</v>
      </c>
      <c r="E228">
        <v>1.0049999999999999</v>
      </c>
    </row>
    <row r="229" spans="1:5" x14ac:dyDescent="0.35">
      <c r="A229" t="s">
        <v>296</v>
      </c>
      <c r="B229" t="s">
        <v>197</v>
      </c>
      <c r="C229" t="s">
        <v>198</v>
      </c>
      <c r="D229" t="s">
        <v>0</v>
      </c>
      <c r="E229">
        <v>5.09</v>
      </c>
    </row>
    <row r="230" spans="1:5" x14ac:dyDescent="0.35">
      <c r="A230" t="s">
        <v>296</v>
      </c>
      <c r="B230" t="s">
        <v>199</v>
      </c>
      <c r="C230" t="s">
        <v>200</v>
      </c>
      <c r="D230" t="s">
        <v>201</v>
      </c>
      <c r="E230">
        <v>1.325</v>
      </c>
    </row>
    <row r="231" spans="1:5" x14ac:dyDescent="0.35">
      <c r="A231" t="s">
        <v>297</v>
      </c>
      <c r="B231" t="s">
        <v>197</v>
      </c>
      <c r="C231" t="s">
        <v>198</v>
      </c>
      <c r="D231" t="s">
        <v>0</v>
      </c>
      <c r="E231">
        <v>134.49799999999999</v>
      </c>
    </row>
    <row r="232" spans="1:5" x14ac:dyDescent="0.35">
      <c r="A232" t="s">
        <v>297</v>
      </c>
      <c r="B232" t="s">
        <v>199</v>
      </c>
      <c r="C232" t="s">
        <v>200</v>
      </c>
      <c r="D232" t="s">
        <v>201</v>
      </c>
      <c r="E232">
        <v>1.546</v>
      </c>
    </row>
    <row r="233" spans="1:5" x14ac:dyDescent="0.35">
      <c r="A233" t="s">
        <v>298</v>
      </c>
      <c r="B233" t="s">
        <v>197</v>
      </c>
      <c r="C233" t="s">
        <v>198</v>
      </c>
      <c r="D233" t="s">
        <v>0</v>
      </c>
      <c r="E233">
        <v>62.5</v>
      </c>
    </row>
    <row r="234" spans="1:5" x14ac:dyDescent="0.35">
      <c r="A234" t="s">
        <v>298</v>
      </c>
      <c r="B234" t="s">
        <v>199</v>
      </c>
      <c r="C234" t="s">
        <v>200</v>
      </c>
      <c r="D234" t="s">
        <v>201</v>
      </c>
      <c r="E234">
        <v>2.968</v>
      </c>
    </row>
    <row r="235" spans="1:5" x14ac:dyDescent="0.35">
      <c r="A235" t="s">
        <v>299</v>
      </c>
      <c r="B235" t="s">
        <v>197</v>
      </c>
      <c r="C235" t="s">
        <v>198</v>
      </c>
      <c r="D235" t="s">
        <v>0</v>
      </c>
      <c r="E235">
        <v>1587.4670000000001</v>
      </c>
    </row>
    <row r="236" spans="1:5" x14ac:dyDescent="0.35">
      <c r="A236" t="s">
        <v>299</v>
      </c>
      <c r="B236" t="s">
        <v>199</v>
      </c>
      <c r="C236" t="s">
        <v>200</v>
      </c>
      <c r="D236" t="s">
        <v>201</v>
      </c>
      <c r="E236">
        <v>167.27199999999999</v>
      </c>
    </row>
    <row r="237" spans="1:5" x14ac:dyDescent="0.35">
      <c r="A237" t="s">
        <v>133</v>
      </c>
      <c r="B237" t="s">
        <v>197</v>
      </c>
      <c r="C237" t="s">
        <v>198</v>
      </c>
      <c r="D237" t="s">
        <v>0</v>
      </c>
      <c r="E237">
        <v>7533.143</v>
      </c>
    </row>
    <row r="238" spans="1:5" x14ac:dyDescent="0.35">
      <c r="A238" t="s">
        <v>133</v>
      </c>
      <c r="B238" t="s">
        <v>199</v>
      </c>
      <c r="C238" t="s">
        <v>200</v>
      </c>
      <c r="D238" t="s">
        <v>201</v>
      </c>
      <c r="E238">
        <v>50.05</v>
      </c>
    </row>
    <row r="239" spans="1:5" x14ac:dyDescent="0.35">
      <c r="A239" t="s">
        <v>300</v>
      </c>
      <c r="B239" t="s">
        <v>197</v>
      </c>
      <c r="C239" t="s">
        <v>198</v>
      </c>
      <c r="D239" t="s">
        <v>0</v>
      </c>
      <c r="E239">
        <v>1563.6880000000001</v>
      </c>
    </row>
    <row r="240" spans="1:5" x14ac:dyDescent="0.35">
      <c r="A240" t="s">
        <v>300</v>
      </c>
      <c r="B240" t="s">
        <v>199</v>
      </c>
      <c r="C240" t="s">
        <v>200</v>
      </c>
      <c r="D240" t="s">
        <v>201</v>
      </c>
      <c r="E240">
        <v>8.9149999999999991</v>
      </c>
    </row>
    <row r="241" spans="1:5" x14ac:dyDescent="0.35">
      <c r="A241" t="s">
        <v>301</v>
      </c>
      <c r="B241" t="s">
        <v>197</v>
      </c>
      <c r="C241" t="s">
        <v>198</v>
      </c>
      <c r="D241" t="s">
        <v>0</v>
      </c>
      <c r="E241">
        <v>8.3019999999999996</v>
      </c>
    </row>
    <row r="242" spans="1:5" x14ac:dyDescent="0.35">
      <c r="A242" t="s">
        <v>301</v>
      </c>
      <c r="B242" t="s">
        <v>199</v>
      </c>
      <c r="C242" t="s">
        <v>200</v>
      </c>
      <c r="D242" t="s">
        <v>201</v>
      </c>
      <c r="E242">
        <v>0.23300000000000001</v>
      </c>
    </row>
    <row r="243" spans="1:5" x14ac:dyDescent="0.35">
      <c r="A243" t="s">
        <v>302</v>
      </c>
      <c r="B243" t="s">
        <v>197</v>
      </c>
      <c r="C243" t="s">
        <v>198</v>
      </c>
      <c r="D243" t="s">
        <v>0</v>
      </c>
      <c r="E243">
        <v>4236.6750000000002</v>
      </c>
    </row>
    <row r="244" spans="1:5" x14ac:dyDescent="0.35">
      <c r="A244" t="s">
        <v>302</v>
      </c>
      <c r="B244" t="s">
        <v>199</v>
      </c>
      <c r="C244" t="s">
        <v>200</v>
      </c>
      <c r="D244" t="s">
        <v>201</v>
      </c>
      <c r="E244">
        <v>12.978999999999999</v>
      </c>
    </row>
    <row r="245" spans="1:5" x14ac:dyDescent="0.35">
      <c r="A245" t="s">
        <v>303</v>
      </c>
      <c r="B245" t="s">
        <v>197</v>
      </c>
      <c r="C245" t="s">
        <v>198</v>
      </c>
      <c r="D245" t="s">
        <v>0</v>
      </c>
      <c r="E245">
        <v>12.888</v>
      </c>
    </row>
    <row r="246" spans="1:5" x14ac:dyDescent="0.35">
      <c r="A246" t="s">
        <v>303</v>
      </c>
      <c r="B246" t="s">
        <v>199</v>
      </c>
      <c r="C246" t="s">
        <v>200</v>
      </c>
      <c r="D246" t="s">
        <v>201</v>
      </c>
      <c r="E246">
        <v>0.66500000000000004</v>
      </c>
    </row>
    <row r="247" spans="1:5" x14ac:dyDescent="0.35">
      <c r="A247" t="s">
        <v>304</v>
      </c>
      <c r="B247" t="s">
        <v>197</v>
      </c>
      <c r="C247" t="s">
        <v>198</v>
      </c>
      <c r="D247" t="s">
        <v>0</v>
      </c>
      <c r="E247">
        <v>12.308999999999999</v>
      </c>
    </row>
    <row r="248" spans="1:5" x14ac:dyDescent="0.35">
      <c r="A248" t="s">
        <v>304</v>
      </c>
      <c r="B248" t="s">
        <v>199</v>
      </c>
      <c r="C248" t="s">
        <v>200</v>
      </c>
      <c r="D248" t="s">
        <v>201</v>
      </c>
      <c r="E248">
        <v>0.97399999999999998</v>
      </c>
    </row>
    <row r="249" spans="1:5" x14ac:dyDescent="0.35">
      <c r="A249" t="s">
        <v>305</v>
      </c>
      <c r="B249" t="s">
        <v>197</v>
      </c>
      <c r="C249" t="s">
        <v>198</v>
      </c>
      <c r="D249" t="s">
        <v>0</v>
      </c>
      <c r="E249">
        <v>38805.548999999999</v>
      </c>
    </row>
    <row r="250" spans="1:5" x14ac:dyDescent="0.35">
      <c r="A250" t="s">
        <v>305</v>
      </c>
      <c r="B250" t="s">
        <v>199</v>
      </c>
      <c r="C250" t="s">
        <v>200</v>
      </c>
      <c r="D250" t="s">
        <v>201</v>
      </c>
      <c r="E250">
        <v>1497.7059999999999</v>
      </c>
    </row>
    <row r="251" spans="1:5" x14ac:dyDescent="0.35">
      <c r="A251" t="s">
        <v>306</v>
      </c>
      <c r="B251" t="s">
        <v>197</v>
      </c>
      <c r="C251" t="s">
        <v>198</v>
      </c>
      <c r="D251" t="s">
        <v>0</v>
      </c>
      <c r="E251">
        <v>212.11799999999999</v>
      </c>
    </row>
    <row r="252" spans="1:5" x14ac:dyDescent="0.35">
      <c r="A252" t="s">
        <v>306</v>
      </c>
      <c r="B252" t="s">
        <v>199</v>
      </c>
      <c r="C252" t="s">
        <v>200</v>
      </c>
      <c r="D252" t="s">
        <v>201</v>
      </c>
      <c r="E252">
        <v>1.51</v>
      </c>
    </row>
    <row r="253" spans="1:5" x14ac:dyDescent="0.35">
      <c r="A253" t="s">
        <v>307</v>
      </c>
      <c r="B253" t="s">
        <v>197</v>
      </c>
      <c r="C253" t="s">
        <v>198</v>
      </c>
      <c r="D253" t="s">
        <v>0</v>
      </c>
      <c r="E253">
        <v>4235.6390000000001</v>
      </c>
    </row>
    <row r="254" spans="1:5" x14ac:dyDescent="0.35">
      <c r="A254" t="s">
        <v>307</v>
      </c>
      <c r="B254" t="s">
        <v>199</v>
      </c>
      <c r="C254" t="s">
        <v>200</v>
      </c>
      <c r="D254" t="s">
        <v>201</v>
      </c>
      <c r="E254">
        <v>12.307</v>
      </c>
    </row>
    <row r="255" spans="1:5" x14ac:dyDescent="0.35">
      <c r="A255" t="s">
        <v>188</v>
      </c>
      <c r="B255" t="s">
        <v>197</v>
      </c>
      <c r="C255" t="s">
        <v>198</v>
      </c>
      <c r="D255" t="s">
        <v>0</v>
      </c>
      <c r="E255">
        <v>814.69799999999998</v>
      </c>
    </row>
    <row r="256" spans="1:5" x14ac:dyDescent="0.35">
      <c r="A256" t="s">
        <v>188</v>
      </c>
      <c r="B256" t="s">
        <v>199</v>
      </c>
      <c r="C256" t="s">
        <v>200</v>
      </c>
      <c r="D256" t="s">
        <v>201</v>
      </c>
      <c r="E256">
        <v>1.9119999999999999</v>
      </c>
    </row>
    <row r="257" spans="1:5" x14ac:dyDescent="0.35">
      <c r="A257" t="s">
        <v>308</v>
      </c>
      <c r="B257" t="s">
        <v>197</v>
      </c>
      <c r="C257" t="s">
        <v>198</v>
      </c>
      <c r="D257" t="s">
        <v>0</v>
      </c>
      <c r="E257">
        <v>130.03299999999999</v>
      </c>
    </row>
    <row r="258" spans="1:5" x14ac:dyDescent="0.35">
      <c r="A258" t="s">
        <v>308</v>
      </c>
      <c r="B258" t="s">
        <v>199</v>
      </c>
      <c r="C258" t="s">
        <v>200</v>
      </c>
      <c r="D258" t="s">
        <v>201</v>
      </c>
      <c r="E258">
        <v>0.72299999999999998</v>
      </c>
    </row>
    <row r="259" spans="1:5" x14ac:dyDescent="0.35">
      <c r="A259" t="s">
        <v>309</v>
      </c>
      <c r="B259" t="s">
        <v>197</v>
      </c>
      <c r="C259" t="s">
        <v>198</v>
      </c>
      <c r="D259" t="s">
        <v>0</v>
      </c>
      <c r="E259">
        <v>74.350999999999999</v>
      </c>
    </row>
    <row r="260" spans="1:5" x14ac:dyDescent="0.35">
      <c r="A260" t="s">
        <v>309</v>
      </c>
      <c r="B260" t="s">
        <v>199</v>
      </c>
      <c r="C260" t="s">
        <v>200</v>
      </c>
      <c r="D260" t="s">
        <v>201</v>
      </c>
      <c r="E260">
        <v>3.9119999999999999</v>
      </c>
    </row>
    <row r="261" spans="1:5" x14ac:dyDescent="0.35">
      <c r="A261" t="s">
        <v>189</v>
      </c>
      <c r="B261" t="s">
        <v>197</v>
      </c>
      <c r="C261" t="s">
        <v>198</v>
      </c>
      <c r="D261" t="s">
        <v>0</v>
      </c>
      <c r="E261">
        <v>1890778.3</v>
      </c>
    </row>
    <row r="262" spans="1:5" x14ac:dyDescent="0.35">
      <c r="A262" t="s">
        <v>189</v>
      </c>
      <c r="B262" t="s">
        <v>199</v>
      </c>
      <c r="C262" t="s">
        <v>200</v>
      </c>
      <c r="D262" t="s">
        <v>201</v>
      </c>
      <c r="E262">
        <v>11713.816000000001</v>
      </c>
    </row>
    <row r="263" spans="1:5" x14ac:dyDescent="0.35">
      <c r="A263" t="s">
        <v>190</v>
      </c>
      <c r="B263" t="s">
        <v>197</v>
      </c>
      <c r="C263" t="s">
        <v>198</v>
      </c>
      <c r="D263" t="s">
        <v>0</v>
      </c>
      <c r="E263">
        <v>13285.2</v>
      </c>
    </row>
    <row r="264" spans="1:5" x14ac:dyDescent="0.35">
      <c r="A264" t="s">
        <v>190</v>
      </c>
      <c r="B264" t="s">
        <v>199</v>
      </c>
      <c r="C264" t="s">
        <v>200</v>
      </c>
      <c r="D264" t="s">
        <v>201</v>
      </c>
      <c r="E264">
        <v>10.237</v>
      </c>
    </row>
    <row r="265" spans="1:5" x14ac:dyDescent="0.35">
      <c r="A265" t="s">
        <v>310</v>
      </c>
      <c r="B265" t="s">
        <v>197</v>
      </c>
      <c r="C265" t="s">
        <v>198</v>
      </c>
      <c r="D265" t="s">
        <v>0</v>
      </c>
      <c r="E265">
        <v>905.29700000000003</v>
      </c>
    </row>
    <row r="266" spans="1:5" x14ac:dyDescent="0.35">
      <c r="A266" t="s">
        <v>310</v>
      </c>
      <c r="B266" t="s">
        <v>199</v>
      </c>
      <c r="C266" t="s">
        <v>200</v>
      </c>
      <c r="D266" t="s">
        <v>201</v>
      </c>
      <c r="E266">
        <v>84.204999999999998</v>
      </c>
    </row>
    <row r="267" spans="1:5" x14ac:dyDescent="0.35">
      <c r="A267" t="s">
        <v>311</v>
      </c>
      <c r="B267" t="s">
        <v>197</v>
      </c>
      <c r="C267" t="s">
        <v>198</v>
      </c>
      <c r="D267" t="s">
        <v>0</v>
      </c>
      <c r="E267">
        <v>0.95899999999999996</v>
      </c>
    </row>
    <row r="268" spans="1:5" x14ac:dyDescent="0.35">
      <c r="A268" t="s">
        <v>311</v>
      </c>
      <c r="B268" t="s">
        <v>199</v>
      </c>
      <c r="C268" t="s">
        <v>200</v>
      </c>
      <c r="D268" t="s">
        <v>201</v>
      </c>
      <c r="E268">
        <v>0.93600000000000005</v>
      </c>
    </row>
    <row r="269" spans="1:5" x14ac:dyDescent="0.35">
      <c r="A269" t="s">
        <v>312</v>
      </c>
      <c r="B269" t="s">
        <v>197</v>
      </c>
      <c r="C269" t="s">
        <v>198</v>
      </c>
      <c r="D269" t="s">
        <v>0</v>
      </c>
      <c r="E269">
        <v>556.91999999999996</v>
      </c>
    </row>
    <row r="270" spans="1:5" x14ac:dyDescent="0.35">
      <c r="A270" t="s">
        <v>312</v>
      </c>
      <c r="B270" t="s">
        <v>199</v>
      </c>
      <c r="C270" t="s">
        <v>200</v>
      </c>
      <c r="D270" t="s">
        <v>201</v>
      </c>
      <c r="E270">
        <v>2451.0970000000002</v>
      </c>
    </row>
    <row r="271" spans="1:5" x14ac:dyDescent="0.35">
      <c r="A271" t="s">
        <v>129</v>
      </c>
      <c r="B271" t="s">
        <v>197</v>
      </c>
      <c r="C271" t="s">
        <v>198</v>
      </c>
      <c r="D271" t="s">
        <v>0</v>
      </c>
      <c r="E271">
        <v>822.02099999999996</v>
      </c>
    </row>
    <row r="272" spans="1:5" x14ac:dyDescent="0.35">
      <c r="A272" t="s">
        <v>129</v>
      </c>
      <c r="B272" t="s">
        <v>199</v>
      </c>
      <c r="C272" t="s">
        <v>200</v>
      </c>
      <c r="D272" t="s">
        <v>201</v>
      </c>
      <c r="E272">
        <v>2.8719999999999999</v>
      </c>
    </row>
    <row r="273" spans="1:5" x14ac:dyDescent="0.35">
      <c r="A273" t="s">
        <v>313</v>
      </c>
      <c r="B273" t="s">
        <v>197</v>
      </c>
      <c r="C273" t="s">
        <v>198</v>
      </c>
      <c r="D273" t="s">
        <v>0</v>
      </c>
      <c r="E273">
        <v>3725.3829999999998</v>
      </c>
    </row>
    <row r="274" spans="1:5" x14ac:dyDescent="0.35">
      <c r="A274" t="s">
        <v>313</v>
      </c>
      <c r="B274" t="s">
        <v>199</v>
      </c>
      <c r="C274" t="s">
        <v>200</v>
      </c>
      <c r="D274" t="s">
        <v>201</v>
      </c>
      <c r="E274">
        <v>227.553</v>
      </c>
    </row>
    <row r="275" spans="1:5" x14ac:dyDescent="0.35">
      <c r="A275" t="s">
        <v>314</v>
      </c>
      <c r="B275" t="s">
        <v>197</v>
      </c>
      <c r="C275" t="s">
        <v>198</v>
      </c>
      <c r="D275" t="s">
        <v>0</v>
      </c>
      <c r="E275">
        <v>1192.779</v>
      </c>
    </row>
    <row r="276" spans="1:5" x14ac:dyDescent="0.35">
      <c r="A276" t="s">
        <v>314</v>
      </c>
      <c r="B276" t="s">
        <v>199</v>
      </c>
      <c r="C276" t="s">
        <v>200</v>
      </c>
      <c r="D276" t="s">
        <v>201</v>
      </c>
      <c r="E276">
        <v>32.299999999999997</v>
      </c>
    </row>
    <row r="277" spans="1:5" x14ac:dyDescent="0.35">
      <c r="A277" t="s">
        <v>315</v>
      </c>
      <c r="B277" t="s">
        <v>197</v>
      </c>
      <c r="C277" t="s">
        <v>198</v>
      </c>
      <c r="D277" t="s">
        <v>0</v>
      </c>
      <c r="E277">
        <v>3.7549999999999999</v>
      </c>
    </row>
    <row r="278" spans="1:5" x14ac:dyDescent="0.35">
      <c r="A278" t="s">
        <v>315</v>
      </c>
      <c r="B278" t="s">
        <v>199</v>
      </c>
      <c r="C278" t="s">
        <v>200</v>
      </c>
      <c r="D278" t="s">
        <v>201</v>
      </c>
      <c r="E278">
        <v>4.0129999999999999</v>
      </c>
    </row>
    <row r="279" spans="1:5" x14ac:dyDescent="0.35">
      <c r="A279" t="s">
        <v>316</v>
      </c>
      <c r="B279" t="s">
        <v>197</v>
      </c>
      <c r="C279" t="s">
        <v>198</v>
      </c>
      <c r="D279" t="s">
        <v>0</v>
      </c>
      <c r="E279">
        <v>2310.5140000000001</v>
      </c>
    </row>
    <row r="280" spans="1:5" x14ac:dyDescent="0.35">
      <c r="A280" t="s">
        <v>316</v>
      </c>
      <c r="B280" t="s">
        <v>199</v>
      </c>
      <c r="C280" t="s">
        <v>200</v>
      </c>
      <c r="D280" t="s">
        <v>201</v>
      </c>
      <c r="E280">
        <v>640.44299999999998</v>
      </c>
    </row>
    <row r="281" spans="1:5" x14ac:dyDescent="0.35">
      <c r="A281" t="s">
        <v>317</v>
      </c>
      <c r="B281" t="s">
        <v>197</v>
      </c>
      <c r="C281" t="s">
        <v>198</v>
      </c>
      <c r="D281" t="s">
        <v>0</v>
      </c>
      <c r="E281">
        <v>159.13499999999999</v>
      </c>
    </row>
    <row r="282" spans="1:5" x14ac:dyDescent="0.35">
      <c r="A282" t="s">
        <v>317</v>
      </c>
      <c r="B282" t="s">
        <v>199</v>
      </c>
      <c r="C282" t="s">
        <v>200</v>
      </c>
      <c r="D282" t="s">
        <v>201</v>
      </c>
      <c r="E282">
        <v>1.571</v>
      </c>
    </row>
    <row r="283" spans="1:5" x14ac:dyDescent="0.35">
      <c r="A283" t="s">
        <v>318</v>
      </c>
      <c r="B283" t="s">
        <v>197</v>
      </c>
      <c r="C283" t="s">
        <v>198</v>
      </c>
      <c r="D283" t="s">
        <v>0</v>
      </c>
      <c r="E283">
        <v>1195.8119999999999</v>
      </c>
    </row>
    <row r="284" spans="1:5" x14ac:dyDescent="0.35">
      <c r="A284" t="s">
        <v>318</v>
      </c>
      <c r="B284" t="s">
        <v>199</v>
      </c>
      <c r="C284" t="s">
        <v>200</v>
      </c>
      <c r="D284" t="s">
        <v>201</v>
      </c>
      <c r="E284">
        <v>16.422000000000001</v>
      </c>
    </row>
    <row r="285" spans="1:5" x14ac:dyDescent="0.35">
      <c r="A285" t="s">
        <v>319</v>
      </c>
      <c r="B285" t="s">
        <v>197</v>
      </c>
      <c r="C285" t="s">
        <v>198</v>
      </c>
      <c r="D285" t="s">
        <v>0</v>
      </c>
      <c r="E285">
        <v>5726.5</v>
      </c>
    </row>
    <row r="286" spans="1:5" x14ac:dyDescent="0.35">
      <c r="A286" t="s">
        <v>319</v>
      </c>
      <c r="B286" t="s">
        <v>199</v>
      </c>
      <c r="C286" t="s">
        <v>200</v>
      </c>
      <c r="D286" t="s">
        <v>201</v>
      </c>
      <c r="E286">
        <v>145.536</v>
      </c>
    </row>
    <row r="287" spans="1:5" x14ac:dyDescent="0.35">
      <c r="A287" t="s">
        <v>320</v>
      </c>
      <c r="B287" t="s">
        <v>197</v>
      </c>
      <c r="C287" t="s">
        <v>198</v>
      </c>
      <c r="D287" t="s">
        <v>0</v>
      </c>
      <c r="E287">
        <v>1.7</v>
      </c>
    </row>
    <row r="288" spans="1:5" x14ac:dyDescent="0.35">
      <c r="A288" t="s">
        <v>320</v>
      </c>
      <c r="B288" t="s">
        <v>199</v>
      </c>
      <c r="C288" t="s">
        <v>200</v>
      </c>
      <c r="D288" t="s">
        <v>201</v>
      </c>
      <c r="E288">
        <v>2.2869999999999999</v>
      </c>
    </row>
    <row r="289" spans="1:5" x14ac:dyDescent="0.35">
      <c r="A289" t="s">
        <v>134</v>
      </c>
      <c r="B289" t="s">
        <v>197</v>
      </c>
      <c r="C289" t="s">
        <v>198</v>
      </c>
      <c r="D289" t="s">
        <v>0</v>
      </c>
      <c r="E289">
        <v>1209.4970000000001</v>
      </c>
    </row>
    <row r="290" spans="1:5" x14ac:dyDescent="0.35">
      <c r="A290" t="s">
        <v>134</v>
      </c>
      <c r="B290" t="s">
        <v>199</v>
      </c>
      <c r="C290" t="s">
        <v>200</v>
      </c>
      <c r="D290" t="s">
        <v>201</v>
      </c>
      <c r="E290">
        <v>2.5979999999999999</v>
      </c>
    </row>
    <row r="291" spans="1:5" x14ac:dyDescent="0.35">
      <c r="A291" t="s">
        <v>124</v>
      </c>
      <c r="B291" t="s">
        <v>197</v>
      </c>
      <c r="C291" t="s">
        <v>198</v>
      </c>
      <c r="D291" t="s">
        <v>0</v>
      </c>
      <c r="E291">
        <v>744.75400000000002</v>
      </c>
    </row>
    <row r="292" spans="1:5" x14ac:dyDescent="0.35">
      <c r="A292" t="s">
        <v>124</v>
      </c>
      <c r="B292" t="s">
        <v>199</v>
      </c>
      <c r="C292" t="s">
        <v>200</v>
      </c>
      <c r="D292" t="s">
        <v>201</v>
      </c>
      <c r="E292">
        <v>0.81799999999999995</v>
      </c>
    </row>
    <row r="293" spans="1:5" x14ac:dyDescent="0.35">
      <c r="A293" t="s">
        <v>321</v>
      </c>
      <c r="B293" t="s">
        <v>197</v>
      </c>
      <c r="C293" t="s">
        <v>198</v>
      </c>
      <c r="D293" t="s">
        <v>0</v>
      </c>
      <c r="E293">
        <v>1760.28</v>
      </c>
    </row>
    <row r="294" spans="1:5" x14ac:dyDescent="0.35">
      <c r="A294" t="s">
        <v>321</v>
      </c>
      <c r="B294" t="s">
        <v>199</v>
      </c>
      <c r="C294" t="s">
        <v>200</v>
      </c>
      <c r="D294" t="s">
        <v>201</v>
      </c>
      <c r="E294">
        <v>24.748999999999999</v>
      </c>
    </row>
    <row r="295" spans="1:5" x14ac:dyDescent="0.35">
      <c r="A295" t="s">
        <v>322</v>
      </c>
      <c r="B295" t="s">
        <v>197</v>
      </c>
      <c r="C295" t="s">
        <v>198</v>
      </c>
      <c r="D295" t="s">
        <v>0</v>
      </c>
      <c r="E295">
        <v>1.0109999999999999</v>
      </c>
    </row>
    <row r="296" spans="1:5" x14ac:dyDescent="0.35">
      <c r="A296" t="s">
        <v>322</v>
      </c>
      <c r="B296" t="s">
        <v>199</v>
      </c>
      <c r="C296" t="s">
        <v>200</v>
      </c>
      <c r="D296" t="s">
        <v>201</v>
      </c>
      <c r="E296">
        <v>1.823</v>
      </c>
    </row>
    <row r="297" spans="1:5" x14ac:dyDescent="0.35">
      <c r="A297" t="s">
        <v>323</v>
      </c>
      <c r="B297" t="s">
        <v>197</v>
      </c>
      <c r="C297" t="s">
        <v>198</v>
      </c>
      <c r="D297" t="s">
        <v>0</v>
      </c>
      <c r="E297">
        <v>1.857</v>
      </c>
    </row>
    <row r="298" spans="1:5" x14ac:dyDescent="0.35">
      <c r="A298" t="s">
        <v>323</v>
      </c>
      <c r="B298" t="s">
        <v>199</v>
      </c>
      <c r="C298" t="s">
        <v>200</v>
      </c>
      <c r="D298" t="s">
        <v>201</v>
      </c>
      <c r="E298">
        <v>2.1520000000000001</v>
      </c>
    </row>
    <row r="299" spans="1:5" x14ac:dyDescent="0.35">
      <c r="A299" t="s">
        <v>324</v>
      </c>
      <c r="B299" t="s">
        <v>197</v>
      </c>
      <c r="C299" t="s">
        <v>198</v>
      </c>
      <c r="D299" t="s">
        <v>0</v>
      </c>
      <c r="E299">
        <v>1.008</v>
      </c>
    </row>
    <row r="300" spans="1:5" x14ac:dyDescent="0.35">
      <c r="A300" t="s">
        <v>324</v>
      </c>
      <c r="B300" t="s">
        <v>199</v>
      </c>
      <c r="C300" t="s">
        <v>200</v>
      </c>
      <c r="D300" t="s">
        <v>201</v>
      </c>
      <c r="E300">
        <v>1.488</v>
      </c>
    </row>
    <row r="301" spans="1:5" x14ac:dyDescent="0.35">
      <c r="A301" t="s">
        <v>325</v>
      </c>
      <c r="B301" t="s">
        <v>197</v>
      </c>
      <c r="C301" t="s">
        <v>198</v>
      </c>
      <c r="D301" t="s">
        <v>0</v>
      </c>
      <c r="E301">
        <v>4643.5159999999996</v>
      </c>
    </row>
    <row r="302" spans="1:5" x14ac:dyDescent="0.35">
      <c r="A302" t="s">
        <v>325</v>
      </c>
      <c r="B302" t="s">
        <v>199</v>
      </c>
      <c r="C302" t="s">
        <v>200</v>
      </c>
      <c r="D302" t="s">
        <v>201</v>
      </c>
      <c r="E302">
        <v>61.292000000000002</v>
      </c>
    </row>
    <row r="303" spans="1:5" x14ac:dyDescent="0.35">
      <c r="A303" t="s">
        <v>326</v>
      </c>
      <c r="B303" t="s">
        <v>197</v>
      </c>
      <c r="C303" t="s">
        <v>198</v>
      </c>
      <c r="D303" t="s">
        <v>0</v>
      </c>
      <c r="E303">
        <v>3003.0189999999998</v>
      </c>
    </row>
    <row r="304" spans="1:5" x14ac:dyDescent="0.35">
      <c r="A304" t="s">
        <v>326</v>
      </c>
      <c r="B304" t="s">
        <v>199</v>
      </c>
      <c r="C304" t="s">
        <v>200</v>
      </c>
      <c r="D304" t="s">
        <v>201</v>
      </c>
      <c r="E304">
        <v>1179.4280000000001</v>
      </c>
    </row>
    <row r="305" spans="1:5" x14ac:dyDescent="0.35">
      <c r="A305" t="s">
        <v>327</v>
      </c>
      <c r="B305" t="s">
        <v>197</v>
      </c>
      <c r="C305" t="s">
        <v>198</v>
      </c>
      <c r="D305" t="s">
        <v>0</v>
      </c>
      <c r="E305">
        <v>13.704000000000001</v>
      </c>
    </row>
    <row r="306" spans="1:5" x14ac:dyDescent="0.35">
      <c r="A306" t="s">
        <v>327</v>
      </c>
      <c r="B306" t="s">
        <v>199</v>
      </c>
      <c r="C306" t="s">
        <v>200</v>
      </c>
      <c r="D306" t="s">
        <v>201</v>
      </c>
      <c r="E306">
        <v>2.8039999999999998</v>
      </c>
    </row>
    <row r="307" spans="1:5" x14ac:dyDescent="0.35">
      <c r="A307" t="s">
        <v>145</v>
      </c>
      <c r="B307" t="s">
        <v>197</v>
      </c>
      <c r="C307" t="s">
        <v>198</v>
      </c>
      <c r="D307" t="s">
        <v>0</v>
      </c>
      <c r="E307">
        <v>2438.8739999999998</v>
      </c>
    </row>
    <row r="308" spans="1:5" x14ac:dyDescent="0.35">
      <c r="A308" t="s">
        <v>145</v>
      </c>
      <c r="B308" t="s">
        <v>199</v>
      </c>
      <c r="C308" t="s">
        <v>200</v>
      </c>
      <c r="D308" t="s">
        <v>201</v>
      </c>
      <c r="E308">
        <v>9.8079999999999998</v>
      </c>
    </row>
    <row r="309" spans="1:5" x14ac:dyDescent="0.35">
      <c r="A309" t="s">
        <v>146</v>
      </c>
      <c r="B309" t="s">
        <v>197</v>
      </c>
      <c r="C309" t="s">
        <v>198</v>
      </c>
      <c r="D309" t="s">
        <v>0</v>
      </c>
      <c r="E309">
        <v>430.46100000000001</v>
      </c>
    </row>
    <row r="310" spans="1:5" x14ac:dyDescent="0.35">
      <c r="A310" t="s">
        <v>146</v>
      </c>
      <c r="B310" t="s">
        <v>199</v>
      </c>
      <c r="C310" t="s">
        <v>200</v>
      </c>
      <c r="D310" t="s">
        <v>201</v>
      </c>
      <c r="E310">
        <v>1.9630000000000001</v>
      </c>
    </row>
    <row r="311" spans="1:5" x14ac:dyDescent="0.35">
      <c r="A311" t="s">
        <v>147</v>
      </c>
      <c r="B311" t="s">
        <v>197</v>
      </c>
      <c r="C311" t="s">
        <v>198</v>
      </c>
      <c r="D311" t="s">
        <v>0</v>
      </c>
      <c r="E311">
        <v>1052.921</v>
      </c>
    </row>
    <row r="312" spans="1:5" x14ac:dyDescent="0.35">
      <c r="A312" t="s">
        <v>147</v>
      </c>
      <c r="B312" t="s">
        <v>199</v>
      </c>
      <c r="C312" t="s">
        <v>200</v>
      </c>
      <c r="D312" t="s">
        <v>201</v>
      </c>
      <c r="E312">
        <v>17.576000000000001</v>
      </c>
    </row>
    <row r="313" spans="1:5" x14ac:dyDescent="0.35">
      <c r="A313" t="s">
        <v>148</v>
      </c>
      <c r="B313" t="s">
        <v>197</v>
      </c>
      <c r="C313" t="s">
        <v>198</v>
      </c>
      <c r="D313" t="s">
        <v>0</v>
      </c>
      <c r="E313">
        <v>9856.4</v>
      </c>
    </row>
    <row r="314" spans="1:5" x14ac:dyDescent="0.35">
      <c r="A314" t="s">
        <v>148</v>
      </c>
      <c r="B314" t="s">
        <v>199</v>
      </c>
      <c r="C314" t="s">
        <v>200</v>
      </c>
      <c r="D314" t="s">
        <v>201</v>
      </c>
      <c r="E314">
        <v>18.545000000000002</v>
      </c>
    </row>
    <row r="315" spans="1:5" x14ac:dyDescent="0.35">
      <c r="A315" t="s">
        <v>149</v>
      </c>
      <c r="B315" t="s">
        <v>197</v>
      </c>
      <c r="C315" t="s">
        <v>198</v>
      </c>
      <c r="D315" t="s">
        <v>0</v>
      </c>
      <c r="E315">
        <v>4.758</v>
      </c>
    </row>
    <row r="316" spans="1:5" x14ac:dyDescent="0.35">
      <c r="A316" t="s">
        <v>149</v>
      </c>
      <c r="B316" t="s">
        <v>199</v>
      </c>
      <c r="C316" t="s">
        <v>200</v>
      </c>
      <c r="D316" t="s">
        <v>201</v>
      </c>
      <c r="E316">
        <v>0.61399999999999999</v>
      </c>
    </row>
    <row r="317" spans="1:5" x14ac:dyDescent="0.35">
      <c r="A317" t="s">
        <v>150</v>
      </c>
      <c r="B317" t="s">
        <v>197</v>
      </c>
      <c r="C317" t="s">
        <v>198</v>
      </c>
      <c r="D317" t="s">
        <v>0</v>
      </c>
      <c r="E317">
        <v>10692.42</v>
      </c>
    </row>
    <row r="318" spans="1:5" x14ac:dyDescent="0.35">
      <c r="A318" t="s">
        <v>150</v>
      </c>
      <c r="B318" t="s">
        <v>199</v>
      </c>
      <c r="C318" t="s">
        <v>200</v>
      </c>
      <c r="D318" t="s">
        <v>201</v>
      </c>
      <c r="E318">
        <v>464.05500000000001</v>
      </c>
    </row>
    <row r="319" spans="1:5" x14ac:dyDescent="0.35">
      <c r="A319" t="s">
        <v>144</v>
      </c>
      <c r="B319" t="s">
        <v>197</v>
      </c>
      <c r="C319" t="s">
        <v>198</v>
      </c>
      <c r="D319" t="s">
        <v>0</v>
      </c>
      <c r="E319">
        <v>5938.8789999999999</v>
      </c>
    </row>
    <row r="320" spans="1:5" x14ac:dyDescent="0.35">
      <c r="A320" t="s">
        <v>144</v>
      </c>
      <c r="B320" t="s">
        <v>199</v>
      </c>
      <c r="C320" t="s">
        <v>200</v>
      </c>
      <c r="D320" t="s">
        <v>201</v>
      </c>
      <c r="E320">
        <v>12.868</v>
      </c>
    </row>
    <row r="321" spans="1:5" x14ac:dyDescent="0.35">
      <c r="A321" t="s">
        <v>151</v>
      </c>
      <c r="B321" t="s">
        <v>197</v>
      </c>
      <c r="C321" t="s">
        <v>198</v>
      </c>
      <c r="D321" t="s">
        <v>0</v>
      </c>
      <c r="E321">
        <v>0.34100000000000003</v>
      </c>
    </row>
    <row r="322" spans="1:5" x14ac:dyDescent="0.35">
      <c r="A322" t="s">
        <v>151</v>
      </c>
      <c r="B322" t="s">
        <v>199</v>
      </c>
      <c r="C322" t="s">
        <v>200</v>
      </c>
      <c r="D322" t="s">
        <v>201</v>
      </c>
      <c r="E322" t="s">
        <v>201</v>
      </c>
    </row>
    <row r="323" spans="1:5" x14ac:dyDescent="0.35">
      <c r="A323" t="s">
        <v>152</v>
      </c>
      <c r="B323" t="s">
        <v>197</v>
      </c>
      <c r="C323" t="s">
        <v>198</v>
      </c>
      <c r="D323" t="s">
        <v>0</v>
      </c>
      <c r="E323">
        <v>1068.604</v>
      </c>
    </row>
    <row r="324" spans="1:5" x14ac:dyDescent="0.35">
      <c r="A324" t="s">
        <v>152</v>
      </c>
      <c r="B324" t="s">
        <v>199</v>
      </c>
      <c r="C324" t="s">
        <v>200</v>
      </c>
      <c r="D324" t="s">
        <v>201</v>
      </c>
      <c r="E324">
        <v>141.316</v>
      </c>
    </row>
    <row r="325" spans="1:5" x14ac:dyDescent="0.35">
      <c r="A325" t="s">
        <v>153</v>
      </c>
      <c r="B325" t="s">
        <v>197</v>
      </c>
      <c r="C325" t="s">
        <v>198</v>
      </c>
      <c r="D325" t="s">
        <v>0</v>
      </c>
      <c r="E325">
        <v>0.35799999999999998</v>
      </c>
    </row>
    <row r="326" spans="1:5" x14ac:dyDescent="0.35">
      <c r="A326" t="s">
        <v>153</v>
      </c>
      <c r="B326" t="s">
        <v>199</v>
      </c>
      <c r="C326" t="s">
        <v>200</v>
      </c>
      <c r="D326" t="s">
        <v>201</v>
      </c>
      <c r="E326">
        <v>0.50900000000000001</v>
      </c>
    </row>
    <row r="327" spans="1:5" x14ac:dyDescent="0.35">
      <c r="A327" t="s">
        <v>154</v>
      </c>
      <c r="B327" t="s">
        <v>197</v>
      </c>
      <c r="C327" t="s">
        <v>198</v>
      </c>
      <c r="D327" t="s">
        <v>0</v>
      </c>
      <c r="E327">
        <v>66.168000000000006</v>
      </c>
    </row>
    <row r="328" spans="1:5" x14ac:dyDescent="0.35">
      <c r="A328" t="s">
        <v>154</v>
      </c>
      <c r="B328" t="s">
        <v>199</v>
      </c>
      <c r="C328" t="s">
        <v>200</v>
      </c>
      <c r="D328" t="s">
        <v>201</v>
      </c>
      <c r="E328">
        <v>4.5999999999999996</v>
      </c>
    </row>
    <row r="329" spans="1:5" x14ac:dyDescent="0.35">
      <c r="A329" t="s">
        <v>155</v>
      </c>
      <c r="B329" t="s">
        <v>197</v>
      </c>
      <c r="C329" t="s">
        <v>198</v>
      </c>
      <c r="D329" t="s">
        <v>0</v>
      </c>
      <c r="E329">
        <v>32.261000000000003</v>
      </c>
    </row>
    <row r="330" spans="1:5" x14ac:dyDescent="0.35">
      <c r="A330" t="s">
        <v>155</v>
      </c>
      <c r="B330" t="s">
        <v>199</v>
      </c>
      <c r="C330" t="s">
        <v>200</v>
      </c>
      <c r="D330" t="s">
        <v>201</v>
      </c>
      <c r="E330">
        <v>0.45900000000000002</v>
      </c>
    </row>
    <row r="331" spans="1:5" x14ac:dyDescent="0.35">
      <c r="A331" t="s">
        <v>125</v>
      </c>
      <c r="B331" t="s">
        <v>197</v>
      </c>
      <c r="C331" t="s">
        <v>198</v>
      </c>
      <c r="D331" t="s">
        <v>0</v>
      </c>
      <c r="E331">
        <v>358699628.542</v>
      </c>
    </row>
    <row r="332" spans="1:5" x14ac:dyDescent="0.35">
      <c r="A332" t="s">
        <v>125</v>
      </c>
      <c r="B332" t="s">
        <v>199</v>
      </c>
      <c r="C332" t="s">
        <v>200</v>
      </c>
      <c r="D332" t="s">
        <v>201</v>
      </c>
      <c r="E332">
        <v>796602.82</v>
      </c>
    </row>
    <row r="333" spans="1:5" x14ac:dyDescent="0.35">
      <c r="A333" t="s">
        <v>156</v>
      </c>
      <c r="B333" t="s">
        <v>197</v>
      </c>
      <c r="C333" t="s">
        <v>198</v>
      </c>
      <c r="D333" t="s">
        <v>0</v>
      </c>
      <c r="E333">
        <v>57356</v>
      </c>
    </row>
    <row r="334" spans="1:5" x14ac:dyDescent="0.35">
      <c r="A334" t="s">
        <v>156</v>
      </c>
      <c r="B334" t="s">
        <v>199</v>
      </c>
      <c r="C334" t="s">
        <v>200</v>
      </c>
      <c r="D334" t="s">
        <v>201</v>
      </c>
      <c r="E334">
        <v>1599.268</v>
      </c>
    </row>
    <row r="335" spans="1:5" x14ac:dyDescent="0.35">
      <c r="A335" t="s">
        <v>157</v>
      </c>
      <c r="B335" t="s">
        <v>197</v>
      </c>
      <c r="C335" t="s">
        <v>198</v>
      </c>
      <c r="D335" t="s">
        <v>0</v>
      </c>
      <c r="E335">
        <v>13217.842000000001</v>
      </c>
    </row>
    <row r="336" spans="1:5" x14ac:dyDescent="0.35">
      <c r="A336" t="s">
        <v>157</v>
      </c>
      <c r="B336" t="s">
        <v>199</v>
      </c>
      <c r="C336" t="s">
        <v>200</v>
      </c>
      <c r="D336" t="s">
        <v>201</v>
      </c>
      <c r="E336">
        <v>332.42700000000002</v>
      </c>
    </row>
    <row r="337" spans="1:5" x14ac:dyDescent="0.35">
      <c r="A337" t="s">
        <v>191</v>
      </c>
      <c r="B337" t="s">
        <v>197</v>
      </c>
      <c r="C337" t="s">
        <v>198</v>
      </c>
      <c r="D337" t="s">
        <v>0</v>
      </c>
      <c r="E337">
        <v>264.16500000000002</v>
      </c>
    </row>
    <row r="338" spans="1:5" x14ac:dyDescent="0.35">
      <c r="A338" t="s">
        <v>191</v>
      </c>
      <c r="B338" t="s">
        <v>199</v>
      </c>
      <c r="C338" t="s">
        <v>200</v>
      </c>
      <c r="D338" t="s">
        <v>201</v>
      </c>
      <c r="E338">
        <v>0.99199999999999999</v>
      </c>
    </row>
    <row r="339" spans="1:5" x14ac:dyDescent="0.35">
      <c r="A339" t="s">
        <v>130</v>
      </c>
      <c r="B339" t="s">
        <v>197</v>
      </c>
      <c r="C339" t="s">
        <v>198</v>
      </c>
      <c r="D339" t="s">
        <v>0</v>
      </c>
      <c r="E339">
        <v>295.36099999999999</v>
      </c>
    </row>
    <row r="340" spans="1:5" x14ac:dyDescent="0.35">
      <c r="A340" t="s">
        <v>130</v>
      </c>
      <c r="B340" t="s">
        <v>199</v>
      </c>
      <c r="C340" t="s">
        <v>200</v>
      </c>
      <c r="D340" t="s">
        <v>201</v>
      </c>
      <c r="E340">
        <v>3.649</v>
      </c>
    </row>
    <row r="341" spans="1:5" x14ac:dyDescent="0.35">
      <c r="A341" t="s">
        <v>126</v>
      </c>
      <c r="B341" t="s">
        <v>197</v>
      </c>
      <c r="C341" t="s">
        <v>198</v>
      </c>
      <c r="D341" t="s">
        <v>0</v>
      </c>
      <c r="E341">
        <v>1099.896</v>
      </c>
    </row>
    <row r="342" spans="1:5" x14ac:dyDescent="0.35">
      <c r="A342" t="s">
        <v>126</v>
      </c>
      <c r="B342" t="s">
        <v>199</v>
      </c>
      <c r="C342" t="s">
        <v>200</v>
      </c>
      <c r="D342" t="s">
        <v>201</v>
      </c>
      <c r="E342">
        <v>0.68500000000000005</v>
      </c>
    </row>
    <row r="343" spans="1:5" x14ac:dyDescent="0.35">
      <c r="A343" t="s">
        <v>112</v>
      </c>
      <c r="B343" t="s">
        <v>197</v>
      </c>
      <c r="C343" t="s">
        <v>198</v>
      </c>
      <c r="D343" t="s">
        <v>0</v>
      </c>
      <c r="E343">
        <v>11004.05</v>
      </c>
    </row>
    <row r="344" spans="1:5" x14ac:dyDescent="0.35">
      <c r="A344" t="s">
        <v>112</v>
      </c>
      <c r="B344" t="s">
        <v>199</v>
      </c>
      <c r="C344" t="s">
        <v>200</v>
      </c>
      <c r="D344" t="s">
        <v>201</v>
      </c>
      <c r="E344">
        <v>1.028</v>
      </c>
    </row>
    <row r="345" spans="1:5" x14ac:dyDescent="0.35">
      <c r="A345" t="s">
        <v>158</v>
      </c>
      <c r="B345" t="s">
        <v>197</v>
      </c>
      <c r="C345" t="s">
        <v>198</v>
      </c>
      <c r="D345" t="s">
        <v>0</v>
      </c>
      <c r="E345">
        <v>315.44600000000003</v>
      </c>
    </row>
    <row r="346" spans="1:5" x14ac:dyDescent="0.35">
      <c r="A346" t="s">
        <v>158</v>
      </c>
      <c r="B346" t="s">
        <v>199</v>
      </c>
      <c r="C346" t="s">
        <v>200</v>
      </c>
      <c r="D346" t="s">
        <v>201</v>
      </c>
      <c r="E346">
        <v>7.9950000000000001</v>
      </c>
    </row>
    <row r="347" spans="1:5" x14ac:dyDescent="0.35">
      <c r="A347" t="s">
        <v>192</v>
      </c>
      <c r="B347" t="s">
        <v>197</v>
      </c>
      <c r="C347" t="s">
        <v>198</v>
      </c>
      <c r="D347" t="s">
        <v>0</v>
      </c>
      <c r="E347">
        <v>9664.1</v>
      </c>
    </row>
    <row r="348" spans="1:5" x14ac:dyDescent="0.35">
      <c r="A348" t="s">
        <v>192</v>
      </c>
      <c r="B348" t="s">
        <v>199</v>
      </c>
      <c r="C348" t="s">
        <v>200</v>
      </c>
      <c r="D348" t="s">
        <v>201</v>
      </c>
      <c r="E348">
        <v>235.61699999999999</v>
      </c>
    </row>
    <row r="349" spans="1:5" x14ac:dyDescent="0.35">
      <c r="A349" t="s">
        <v>159</v>
      </c>
      <c r="B349" t="s">
        <v>197</v>
      </c>
      <c r="C349" t="s">
        <v>198</v>
      </c>
      <c r="D349" t="s">
        <v>0</v>
      </c>
      <c r="E349">
        <v>34.487000000000002</v>
      </c>
    </row>
    <row r="350" spans="1:5" x14ac:dyDescent="0.35">
      <c r="A350" t="s">
        <v>159</v>
      </c>
      <c r="B350" t="s">
        <v>199</v>
      </c>
      <c r="C350" t="s">
        <v>200</v>
      </c>
      <c r="D350" t="s">
        <v>201</v>
      </c>
      <c r="E350">
        <v>54.427999999999997</v>
      </c>
    </row>
    <row r="351" spans="1:5" x14ac:dyDescent="0.35">
      <c r="A351" t="s">
        <v>116</v>
      </c>
      <c r="B351" t="s">
        <v>197</v>
      </c>
      <c r="C351" t="s">
        <v>198</v>
      </c>
      <c r="D351" t="s">
        <v>0</v>
      </c>
      <c r="E351">
        <v>136400.45600000001</v>
      </c>
    </row>
    <row r="352" spans="1:5" x14ac:dyDescent="0.35">
      <c r="A352" t="s">
        <v>116</v>
      </c>
      <c r="B352" t="s">
        <v>199</v>
      </c>
      <c r="C352" t="s">
        <v>200</v>
      </c>
      <c r="D352" t="s">
        <v>201</v>
      </c>
      <c r="E352">
        <v>1155.1869999999999</v>
      </c>
    </row>
    <row r="353" spans="1:5" x14ac:dyDescent="0.35">
      <c r="A353" t="s">
        <v>160</v>
      </c>
      <c r="B353" t="s">
        <v>197</v>
      </c>
      <c r="C353" t="s">
        <v>198</v>
      </c>
      <c r="D353" t="s">
        <v>0</v>
      </c>
      <c r="E353">
        <v>566908.69999999995</v>
      </c>
    </row>
    <row r="354" spans="1:5" x14ac:dyDescent="0.35">
      <c r="A354" t="s">
        <v>160</v>
      </c>
      <c r="B354" t="s">
        <v>199</v>
      </c>
      <c r="C354" t="s">
        <v>200</v>
      </c>
      <c r="D354" t="s">
        <v>201</v>
      </c>
      <c r="E354">
        <v>3031.9769999999999</v>
      </c>
    </row>
    <row r="355" spans="1:5" x14ac:dyDescent="0.35">
      <c r="A355" t="s">
        <v>161</v>
      </c>
      <c r="B355" t="s">
        <v>197</v>
      </c>
      <c r="C355" t="s">
        <v>198</v>
      </c>
      <c r="D355" t="s">
        <v>0</v>
      </c>
      <c r="E355">
        <v>2035.491</v>
      </c>
    </row>
    <row r="356" spans="1:5" x14ac:dyDescent="0.35">
      <c r="A356" t="s">
        <v>161</v>
      </c>
      <c r="B356" t="s">
        <v>199</v>
      </c>
      <c r="C356" t="s">
        <v>200</v>
      </c>
      <c r="D356" t="s">
        <v>201</v>
      </c>
      <c r="E356">
        <v>123.797</v>
      </c>
    </row>
    <row r="357" spans="1:5" x14ac:dyDescent="0.35">
      <c r="A357" t="s">
        <v>162</v>
      </c>
      <c r="B357" t="s">
        <v>197</v>
      </c>
      <c r="C357" t="s">
        <v>198</v>
      </c>
      <c r="D357" t="s">
        <v>0</v>
      </c>
      <c r="E357">
        <v>20520</v>
      </c>
    </row>
    <row r="358" spans="1:5" x14ac:dyDescent="0.35">
      <c r="A358" t="s">
        <v>162</v>
      </c>
      <c r="B358" t="s">
        <v>199</v>
      </c>
      <c r="C358" t="s">
        <v>200</v>
      </c>
      <c r="D358" t="s">
        <v>201</v>
      </c>
      <c r="E358">
        <v>2103.1</v>
      </c>
    </row>
    <row r="359" spans="1:5" x14ac:dyDescent="0.35">
      <c r="A359" t="s">
        <v>163</v>
      </c>
      <c r="B359" t="s">
        <v>197</v>
      </c>
      <c r="C359" t="s">
        <v>198</v>
      </c>
      <c r="D359" t="s">
        <v>0</v>
      </c>
      <c r="E359">
        <v>5810.2529999999997</v>
      </c>
    </row>
    <row r="360" spans="1:5" x14ac:dyDescent="0.35">
      <c r="A360" t="s">
        <v>163</v>
      </c>
      <c r="B360" t="s">
        <v>199</v>
      </c>
      <c r="C360" t="s">
        <v>200</v>
      </c>
      <c r="D360" t="s">
        <v>201</v>
      </c>
      <c r="E360">
        <v>209.48500000000001</v>
      </c>
    </row>
  </sheetData>
  <phoneticPr fontId="18"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17"/>
  <sheetViews>
    <sheetView workbookViewId="0">
      <selection sqref="A1:M9"/>
    </sheetView>
  </sheetViews>
  <sheetFormatPr defaultColWidth="11.08203125" defaultRowHeight="15.5" x14ac:dyDescent="0.35"/>
  <cols>
    <col min="1" max="1" width="5" customWidth="1"/>
    <col min="2" max="2" width="14.08203125" customWidth="1"/>
    <col min="3" max="3" width="8.9140625" customWidth="1"/>
    <col min="4" max="4" width="4.08203125" customWidth="1"/>
    <col min="5" max="5" width="7" customWidth="1"/>
    <col min="6" max="6" width="2" customWidth="1"/>
    <col min="7" max="7" width="5.5" customWidth="1"/>
    <col min="8" max="8" width="6.58203125" customWidth="1"/>
    <col min="9" max="9" width="5.58203125" customWidth="1"/>
    <col min="10" max="10" width="2.08203125" customWidth="1"/>
    <col min="11" max="11" width="5.5" customWidth="1"/>
    <col min="12" max="12" width="6" customWidth="1"/>
    <col min="13" max="13" width="7.5" customWidth="1"/>
  </cols>
  <sheetData>
    <row r="1" spans="1:14" x14ac:dyDescent="0.35">
      <c r="A1" t="s">
        <v>169</v>
      </c>
    </row>
    <row r="2" spans="1:14" x14ac:dyDescent="0.35">
      <c r="A2" t="s">
        <v>175</v>
      </c>
      <c r="L2" s="18">
        <v>1000</v>
      </c>
      <c r="N2">
        <f>+L2</f>
        <v>1000</v>
      </c>
    </row>
    <row r="3" spans="1:14" ht="18.5" x14ac:dyDescent="0.35">
      <c r="A3" t="s">
        <v>171</v>
      </c>
      <c r="D3">
        <v>2</v>
      </c>
      <c r="E3" t="s">
        <v>174</v>
      </c>
      <c r="N3">
        <f>+D3</f>
        <v>2</v>
      </c>
    </row>
    <row r="4" spans="1:14" ht="18.5" x14ac:dyDescent="0.35">
      <c r="A4" t="s">
        <v>172</v>
      </c>
      <c r="D4">
        <v>2</v>
      </c>
      <c r="E4" t="s">
        <v>173</v>
      </c>
      <c r="N4">
        <f>+D4</f>
        <v>2</v>
      </c>
    </row>
    <row r="5" spans="1:14" x14ac:dyDescent="0.35">
      <c r="A5" t="s">
        <v>176</v>
      </c>
      <c r="L5" s="18">
        <v>2000</v>
      </c>
      <c r="N5">
        <f>+L5</f>
        <v>2000</v>
      </c>
    </row>
    <row r="6" spans="1:14" ht="18.5" x14ac:dyDescent="0.35">
      <c r="A6" t="s">
        <v>171</v>
      </c>
      <c r="D6">
        <v>1.5</v>
      </c>
      <c r="E6" t="s">
        <v>174</v>
      </c>
      <c r="N6">
        <f>+D6</f>
        <v>1.5</v>
      </c>
    </row>
    <row r="7" spans="1:14" ht="18.5" x14ac:dyDescent="0.35">
      <c r="A7" t="s">
        <v>172</v>
      </c>
      <c r="D7">
        <v>1.5</v>
      </c>
      <c r="E7" t="s">
        <v>173</v>
      </c>
      <c r="N7">
        <f>+D7</f>
        <v>1.5</v>
      </c>
    </row>
    <row r="8" spans="1:14" x14ac:dyDescent="0.35">
      <c r="A8" t="s">
        <v>177</v>
      </c>
      <c r="C8">
        <v>10</v>
      </c>
      <c r="D8" t="s">
        <v>178</v>
      </c>
      <c r="E8" t="s">
        <v>170</v>
      </c>
      <c r="N8">
        <f>+C8/100</f>
        <v>0.1</v>
      </c>
    </row>
    <row r="9" spans="1:14" x14ac:dyDescent="0.35">
      <c r="A9">
        <v>1000</v>
      </c>
      <c r="B9" t="s">
        <v>179</v>
      </c>
      <c r="N9">
        <f>+A9</f>
        <v>1000</v>
      </c>
    </row>
    <row r="11" spans="1:14" x14ac:dyDescent="0.35">
      <c r="B11" t="s">
        <v>180</v>
      </c>
      <c r="C11">
        <f>+N2</f>
        <v>1000</v>
      </c>
      <c r="D11" t="s">
        <v>181</v>
      </c>
      <c r="E11" s="16">
        <f>+N3</f>
        <v>2</v>
      </c>
      <c r="F11" s="16" t="s">
        <v>182</v>
      </c>
      <c r="G11" s="16">
        <f>+$A$9</f>
        <v>1000</v>
      </c>
      <c r="H11" t="s">
        <v>181</v>
      </c>
      <c r="I11" s="16">
        <f>N4</f>
        <v>2</v>
      </c>
      <c r="J11" s="16" t="s">
        <v>182</v>
      </c>
      <c r="K11" s="16">
        <f>+$A$9</f>
        <v>1000</v>
      </c>
      <c r="L11" t="s">
        <v>167</v>
      </c>
      <c r="M11">
        <f>+C11+E11*G11/(1+G12)+I11*K11/(1+K12)^2</f>
        <v>4471.0743801652889</v>
      </c>
    </row>
    <row r="12" spans="1:14" ht="18.5" x14ac:dyDescent="0.35">
      <c r="E12" s="17" t="s">
        <v>183</v>
      </c>
      <c r="G12">
        <f>+$N$8</f>
        <v>0.1</v>
      </c>
      <c r="H12" t="s">
        <v>184</v>
      </c>
      <c r="I12" s="17" t="s">
        <v>183</v>
      </c>
      <c r="K12">
        <f>+$N$8</f>
        <v>0.1</v>
      </c>
      <c r="L12" t="s">
        <v>185</v>
      </c>
    </row>
    <row r="14" spans="1:14" x14ac:dyDescent="0.35">
      <c r="B14" t="s">
        <v>166</v>
      </c>
      <c r="C14">
        <f>+N5</f>
        <v>2000</v>
      </c>
      <c r="D14" t="s">
        <v>181</v>
      </c>
      <c r="E14" s="16">
        <f>+N6</f>
        <v>1.5</v>
      </c>
      <c r="F14" s="16" t="s">
        <v>182</v>
      </c>
      <c r="G14" s="16">
        <f>+$A$9</f>
        <v>1000</v>
      </c>
      <c r="H14" t="s">
        <v>181</v>
      </c>
      <c r="I14" s="16">
        <f>N7</f>
        <v>1.5</v>
      </c>
      <c r="J14" s="16" t="s">
        <v>182</v>
      </c>
      <c r="K14" s="16">
        <f>+$A$9</f>
        <v>1000</v>
      </c>
      <c r="L14" t="s">
        <v>167</v>
      </c>
      <c r="M14">
        <f>+C14+E14*G14/(1+G15)+I14*K14/(1+K15)^2</f>
        <v>4603.3057851239664</v>
      </c>
    </row>
    <row r="15" spans="1:14" ht="18.5" x14ac:dyDescent="0.35">
      <c r="E15" s="17" t="s">
        <v>183</v>
      </c>
      <c r="G15">
        <f>+$N$8</f>
        <v>0.1</v>
      </c>
      <c r="H15" t="s">
        <v>184</v>
      </c>
      <c r="I15" s="17" t="s">
        <v>183</v>
      </c>
      <c r="K15">
        <f>+$N$8</f>
        <v>0.1</v>
      </c>
      <c r="L15" t="s">
        <v>185</v>
      </c>
    </row>
    <row r="17" spans="1:1" x14ac:dyDescent="0.35">
      <c r="A17" t="s">
        <v>168</v>
      </c>
    </row>
  </sheetData>
  <phoneticPr fontId="18"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49"/>
  <sheetViews>
    <sheetView workbookViewId="0">
      <selection activeCell="H4" sqref="H4"/>
    </sheetView>
  </sheetViews>
  <sheetFormatPr defaultColWidth="8.9140625" defaultRowHeight="15.5" x14ac:dyDescent="0.35"/>
  <cols>
    <col min="1" max="1" width="8.9140625" customWidth="1"/>
    <col min="2" max="2" width="7.08203125" customWidth="1"/>
    <col min="3" max="5" width="6.58203125" customWidth="1"/>
  </cols>
  <sheetData>
    <row r="1" spans="2:9" x14ac:dyDescent="0.35">
      <c r="B1" t="s">
        <v>44</v>
      </c>
      <c r="C1">
        <v>200</v>
      </c>
      <c r="D1">
        <v>-2</v>
      </c>
      <c r="E1" t="s">
        <v>45</v>
      </c>
      <c r="F1" t="s">
        <v>46</v>
      </c>
      <c r="G1">
        <f>-(C1-$C$3)/D1</f>
        <v>95</v>
      </c>
      <c r="H1" s="2" t="s">
        <v>47</v>
      </c>
      <c r="I1">
        <f>-C1/D1</f>
        <v>100</v>
      </c>
    </row>
    <row r="2" spans="2:9" x14ac:dyDescent="0.35">
      <c r="B2" t="s">
        <v>48</v>
      </c>
      <c r="C2">
        <v>100</v>
      </c>
      <c r="D2">
        <v>-1</v>
      </c>
      <c r="E2" t="s">
        <v>45</v>
      </c>
      <c r="F2" t="s">
        <v>49</v>
      </c>
      <c r="G2">
        <f>-(C2-$C$3)/D2</f>
        <v>90</v>
      </c>
      <c r="H2" s="2" t="s">
        <v>47</v>
      </c>
      <c r="I2">
        <f>-C2/D2</f>
        <v>100</v>
      </c>
    </row>
    <row r="3" spans="2:9" x14ac:dyDescent="0.35">
      <c r="B3" t="s">
        <v>50</v>
      </c>
      <c r="C3">
        <v>10</v>
      </c>
    </row>
    <row r="4" spans="2:9" x14ac:dyDescent="0.35">
      <c r="B4" t="s">
        <v>51</v>
      </c>
      <c r="C4">
        <f>+C1+C2</f>
        <v>300</v>
      </c>
      <c r="D4">
        <f>+D1+D2</f>
        <v>-3</v>
      </c>
      <c r="F4" t="s">
        <v>52</v>
      </c>
      <c r="G4">
        <f>-(C4-$C$3)/D4</f>
        <v>96.666666666666671</v>
      </c>
    </row>
    <row r="7" spans="2:9" x14ac:dyDescent="0.35">
      <c r="B7" t="s">
        <v>45</v>
      </c>
      <c r="C7" t="s">
        <v>53</v>
      </c>
    </row>
    <row r="8" spans="2:9" x14ac:dyDescent="0.35">
      <c r="B8">
        <v>0</v>
      </c>
      <c r="C8">
        <f>MAX(0,+C$1+$D$1*B8)+MAX(0,$C$2+$D$2*B8)</f>
        <v>300</v>
      </c>
      <c r="D8">
        <f>+$C$3+$D$3*B8</f>
        <v>10</v>
      </c>
    </row>
    <row r="9" spans="2:9" x14ac:dyDescent="0.35">
      <c r="B9">
        <f>-MAX(C1/D1,C2/D2)</f>
        <v>100</v>
      </c>
      <c r="C9">
        <f>MAX(0,+C$1+$D$1*B9)+MAX(0,$C$2+$D$2*B9)</f>
        <v>0</v>
      </c>
      <c r="D9">
        <f>+$C$3+$D$3*B9</f>
        <v>10</v>
      </c>
    </row>
    <row r="10" spans="2:9" x14ac:dyDescent="0.35">
      <c r="B10">
        <f>-MIN(C1/D1,C2/D2)</f>
        <v>100</v>
      </c>
      <c r="C10">
        <f>MAX(0,+C$1+$D$1*B10)+MAX(0,$C$2+$D$2*B10)</f>
        <v>0</v>
      </c>
      <c r="D10">
        <f>+$C$3+$D$3*B10</f>
        <v>10</v>
      </c>
    </row>
    <row r="23" spans="1:10" x14ac:dyDescent="0.35">
      <c r="A23" t="s">
        <v>54</v>
      </c>
    </row>
    <row r="25" spans="1:10" x14ac:dyDescent="0.35">
      <c r="B25" t="s">
        <v>55</v>
      </c>
      <c r="C25" t="s">
        <v>56</v>
      </c>
      <c r="E25" t="s">
        <v>57</v>
      </c>
      <c r="F25" t="s">
        <v>58</v>
      </c>
      <c r="G25" t="s">
        <v>59</v>
      </c>
      <c r="I25" t="s">
        <v>60</v>
      </c>
      <c r="J25" t="s">
        <v>61</v>
      </c>
    </row>
    <row r="26" spans="1:10" x14ac:dyDescent="0.35">
      <c r="B26" t="s">
        <v>62</v>
      </c>
      <c r="J26">
        <v>7.0000000000000007E-2</v>
      </c>
    </row>
    <row r="27" spans="1:10" x14ac:dyDescent="0.35">
      <c r="A27" t="s">
        <v>63</v>
      </c>
      <c r="B27">
        <f>+C27/1000*$J$26</f>
        <v>5.2500000000000003E-3</v>
      </c>
      <c r="C27">
        <v>75</v>
      </c>
    </row>
    <row r="28" spans="1:10" x14ac:dyDescent="0.35">
      <c r="A28" t="s">
        <v>64</v>
      </c>
      <c r="B28">
        <f>+C28/1000*$J$26</f>
        <v>1.4000000000000002E-3</v>
      </c>
      <c r="C28">
        <v>20</v>
      </c>
    </row>
    <row r="29" spans="1:10" x14ac:dyDescent="0.35">
      <c r="A29" t="s">
        <v>63</v>
      </c>
      <c r="B29">
        <f>D29/H29</f>
        <v>1E-3</v>
      </c>
      <c r="D29">
        <v>0.75</v>
      </c>
      <c r="E29">
        <v>0.1</v>
      </c>
      <c r="F29">
        <v>2</v>
      </c>
      <c r="H29">
        <v>750</v>
      </c>
      <c r="I29" s="2" t="s">
        <v>65</v>
      </c>
    </row>
    <row r="30" spans="1:10" x14ac:dyDescent="0.35">
      <c r="A30" t="s">
        <v>64</v>
      </c>
      <c r="B30">
        <f>+D30/H30/SUM(B33:B39)</f>
        <v>1.6183463612774204E-3</v>
      </c>
      <c r="D30">
        <v>13</v>
      </c>
      <c r="H30">
        <v>1500</v>
      </c>
    </row>
    <row r="31" spans="1:10" x14ac:dyDescent="0.35">
      <c r="A31" t="s">
        <v>66</v>
      </c>
      <c r="B31" s="3">
        <f>+B27+B29</f>
        <v>6.2500000000000003E-3</v>
      </c>
    </row>
    <row r="32" spans="1:10" x14ac:dyDescent="0.35">
      <c r="A32" t="s">
        <v>67</v>
      </c>
      <c r="B32" s="3">
        <f>+B28+B30</f>
        <v>3.0183463612774206E-3</v>
      </c>
    </row>
    <row r="33" spans="1:13" x14ac:dyDescent="0.35">
      <c r="B33">
        <f t="shared" ref="B33:B39" si="0">1/(1+$E$29)^C33</f>
        <v>1</v>
      </c>
      <c r="C33">
        <v>0</v>
      </c>
    </row>
    <row r="34" spans="1:13" x14ac:dyDescent="0.35">
      <c r="B34">
        <f t="shared" si="0"/>
        <v>0.90909090909090906</v>
      </c>
      <c r="C34">
        <v>1</v>
      </c>
    </row>
    <row r="35" spans="1:13" x14ac:dyDescent="0.35">
      <c r="B35">
        <f t="shared" si="0"/>
        <v>0.82644628099173545</v>
      </c>
      <c r="C35">
        <v>2</v>
      </c>
    </row>
    <row r="36" spans="1:13" x14ac:dyDescent="0.35">
      <c r="B36">
        <f t="shared" si="0"/>
        <v>0.75131480090157754</v>
      </c>
      <c r="C36">
        <v>3</v>
      </c>
    </row>
    <row r="37" spans="1:13" x14ac:dyDescent="0.35">
      <c r="B37">
        <f t="shared" si="0"/>
        <v>0.68301345536507052</v>
      </c>
      <c r="C37">
        <v>4</v>
      </c>
    </row>
    <row r="38" spans="1:13" x14ac:dyDescent="0.35">
      <c r="B38">
        <f t="shared" si="0"/>
        <v>0.62092132305915493</v>
      </c>
      <c r="C38">
        <v>5</v>
      </c>
    </row>
    <row r="39" spans="1:13" x14ac:dyDescent="0.35">
      <c r="B39">
        <f t="shared" si="0"/>
        <v>0.56447393005377722</v>
      </c>
      <c r="C39">
        <v>6</v>
      </c>
    </row>
    <row r="40" spans="1:13" x14ac:dyDescent="0.35">
      <c r="F40" t="s">
        <v>68</v>
      </c>
    </row>
    <row r="41" spans="1:13" x14ac:dyDescent="0.35">
      <c r="A41" t="s">
        <v>69</v>
      </c>
      <c r="B41" t="s">
        <v>70</v>
      </c>
      <c r="C41">
        <v>10</v>
      </c>
      <c r="D41">
        <v>0.1</v>
      </c>
      <c r="E41" t="s">
        <v>45</v>
      </c>
      <c r="F41">
        <v>0.4</v>
      </c>
    </row>
    <row r="42" spans="1:13" x14ac:dyDescent="0.35">
      <c r="B42" t="s">
        <v>71</v>
      </c>
      <c r="C42">
        <v>-20</v>
      </c>
      <c r="D42">
        <v>-0.15</v>
      </c>
      <c r="E42" t="s">
        <v>45</v>
      </c>
      <c r="F42">
        <v>0.1</v>
      </c>
    </row>
    <row r="43" spans="1:13" x14ac:dyDescent="0.35">
      <c r="B43" t="s">
        <v>72</v>
      </c>
      <c r="C43">
        <v>30</v>
      </c>
      <c r="D43">
        <v>0.2</v>
      </c>
      <c r="E43" t="s">
        <v>45</v>
      </c>
      <c r="F43">
        <v>0.5</v>
      </c>
    </row>
    <row r="44" spans="1:13" x14ac:dyDescent="0.35">
      <c r="A44" t="s">
        <v>73</v>
      </c>
      <c r="B44" t="s">
        <v>74</v>
      </c>
      <c r="C44">
        <f>+F41*C41+ F42*C42+F43*C43</f>
        <v>17</v>
      </c>
      <c r="D44">
        <f>+F41*D41+ F42*D42+F43*D43</f>
        <v>0.125</v>
      </c>
      <c r="E44" t="s">
        <v>45</v>
      </c>
    </row>
    <row r="45" spans="1:13" x14ac:dyDescent="0.35">
      <c r="B45" t="s">
        <v>75</v>
      </c>
      <c r="C45">
        <v>87.5</v>
      </c>
      <c r="D45">
        <v>-0.8</v>
      </c>
      <c r="E45" t="s">
        <v>45</v>
      </c>
    </row>
    <row r="46" spans="1:13" x14ac:dyDescent="0.35">
      <c r="B46" t="s">
        <v>76</v>
      </c>
      <c r="C46">
        <f>+(  C44-C45)/(D45-D44)</f>
        <v>76.21621621621621</v>
      </c>
    </row>
    <row r="47" spans="1:13" x14ac:dyDescent="0.35">
      <c r="A47" t="s">
        <v>77</v>
      </c>
      <c r="B47">
        <v>0.1</v>
      </c>
    </row>
    <row r="48" spans="1:13" x14ac:dyDescent="0.35">
      <c r="A48" t="s">
        <v>78</v>
      </c>
      <c r="B48">
        <v>1</v>
      </c>
      <c r="C48">
        <v>2</v>
      </c>
      <c r="D48">
        <v>3</v>
      </c>
      <c r="E48">
        <v>4</v>
      </c>
      <c r="F48">
        <v>5</v>
      </c>
      <c r="G48">
        <v>6</v>
      </c>
      <c r="H48">
        <v>7</v>
      </c>
      <c r="I48">
        <v>8</v>
      </c>
      <c r="J48">
        <v>9</v>
      </c>
      <c r="K48">
        <v>10</v>
      </c>
      <c r="L48">
        <v>11</v>
      </c>
      <c r="M48">
        <v>12</v>
      </c>
    </row>
    <row r="49" spans="2:14" x14ac:dyDescent="0.35">
      <c r="B49">
        <f>1/(1+0.1/12)^B48</f>
        <v>0.99173553719008267</v>
      </c>
      <c r="C49">
        <f t="shared" ref="C49:M49" si="1">1/(1+0.1/12)^C48</f>
        <v>0.98353937572570183</v>
      </c>
      <c r="D49">
        <f t="shared" si="1"/>
        <v>0.97541095113292753</v>
      </c>
      <c r="E49">
        <f t="shared" si="1"/>
        <v>0.9673497036029034</v>
      </c>
      <c r="F49">
        <f t="shared" si="1"/>
        <v>0.95935507795329267</v>
      </c>
      <c r="G49">
        <f t="shared" si="1"/>
        <v>0.95142652359004232</v>
      </c>
      <c r="H49">
        <f t="shared" si="1"/>
        <v>0.94356349446946353</v>
      </c>
      <c r="I49">
        <f t="shared" si="1"/>
        <v>0.93576544906062498</v>
      </c>
      <c r="J49">
        <f t="shared" si="1"/>
        <v>0.9280318503080579</v>
      </c>
      <c r="K49">
        <f t="shared" si="1"/>
        <v>0.92036216559476813</v>
      </c>
      <c r="L49">
        <f t="shared" si="1"/>
        <v>0.91275586670555531</v>
      </c>
      <c r="M49">
        <f t="shared" si="1"/>
        <v>0.90521242979063321</v>
      </c>
      <c r="N49">
        <f>+SUM(B49:M49)</f>
        <v>11.374508425124056</v>
      </c>
    </row>
  </sheetData>
  <phoneticPr fontId="0" type="noConversion"/>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5"/>
  <sheetViews>
    <sheetView workbookViewId="0">
      <selection activeCell="G17" sqref="G17"/>
    </sheetView>
  </sheetViews>
  <sheetFormatPr defaultColWidth="8.9140625" defaultRowHeight="15.5" x14ac:dyDescent="0.35"/>
  <sheetData>
    <row r="1" spans="1:6" x14ac:dyDescent="0.35">
      <c r="A1" t="s">
        <v>3</v>
      </c>
    </row>
    <row r="2" spans="1:6" x14ac:dyDescent="0.35">
      <c r="A2" t="s">
        <v>4</v>
      </c>
      <c r="C2">
        <v>50</v>
      </c>
    </row>
    <row r="3" spans="1:6" x14ac:dyDescent="0.35">
      <c r="A3" t="s">
        <v>77</v>
      </c>
      <c r="C3">
        <v>0.1</v>
      </c>
    </row>
    <row r="4" spans="1:6" x14ac:dyDescent="0.35">
      <c r="B4" t="s">
        <v>57</v>
      </c>
      <c r="C4" t="s">
        <v>5</v>
      </c>
    </row>
    <row r="5" spans="1:6" x14ac:dyDescent="0.35">
      <c r="A5" t="s">
        <v>7</v>
      </c>
      <c r="B5" s="8">
        <v>0.99</v>
      </c>
      <c r="C5">
        <v>0.02</v>
      </c>
    </row>
    <row r="6" spans="1:6" x14ac:dyDescent="0.35">
      <c r="A6" t="s">
        <v>6</v>
      </c>
      <c r="B6">
        <v>2.9</v>
      </c>
      <c r="C6">
        <v>0.01</v>
      </c>
    </row>
    <row r="7" spans="1:6" x14ac:dyDescent="0.35">
      <c r="C7" t="s">
        <v>8</v>
      </c>
      <c r="D7" t="s">
        <v>41</v>
      </c>
      <c r="F7">
        <f>0.99*1.1/50</f>
        <v>2.1780000000000001E-2</v>
      </c>
    </row>
    <row r="8" spans="1:6" x14ac:dyDescent="0.35">
      <c r="A8" t="s">
        <v>9</v>
      </c>
      <c r="C8">
        <f>+B5*(1+C3)/C2</f>
        <v>2.1780000000000001E-2</v>
      </c>
      <c r="D8">
        <f>+C8+C5</f>
        <v>4.1779999999999998E-2</v>
      </c>
    </row>
    <row r="9" spans="1:6" x14ac:dyDescent="0.35">
      <c r="A9" t="s">
        <v>10</v>
      </c>
      <c r="C9">
        <f>B6/C2/(1/(1+C3)+1/(1+C3)^2)</f>
        <v>3.3419047619047619E-2</v>
      </c>
      <c r="D9">
        <f>+C6+C9</f>
        <v>4.3419047619047621E-2</v>
      </c>
    </row>
    <row r="11" spans="1:6" x14ac:dyDescent="0.35">
      <c r="C11">
        <f>(B5+0.02*100)*2</f>
        <v>5.98</v>
      </c>
    </row>
    <row r="12" spans="1:6" x14ac:dyDescent="0.35">
      <c r="A12" t="s">
        <v>24</v>
      </c>
      <c r="C12">
        <f>B6*0.01*200</f>
        <v>5.8</v>
      </c>
    </row>
    <row r="13" spans="1:6" x14ac:dyDescent="0.35">
      <c r="A13">
        <v>1</v>
      </c>
      <c r="B13">
        <f>0.99+0.99/(1+C3)+50*0.02/(1+C3)+50*0.02/(1+C3)^2</f>
        <v>3.6255371900826443</v>
      </c>
    </row>
    <row r="14" spans="1:6" x14ac:dyDescent="0.35">
      <c r="A14">
        <v>2</v>
      </c>
      <c r="B14">
        <f>2.9+50*0.01/(1+C3)+50*0.01/(1+C3)^2</f>
        <v>3.7677685950413222</v>
      </c>
    </row>
    <row r="15" spans="1:6" x14ac:dyDescent="0.35">
      <c r="B15">
        <f>+B14-B13</f>
        <v>0.14223140495867792</v>
      </c>
    </row>
  </sheetData>
  <phoneticPr fontId="18"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6"/>
  <sheetViews>
    <sheetView workbookViewId="0">
      <selection activeCell="D16" sqref="D16"/>
    </sheetView>
  </sheetViews>
  <sheetFormatPr defaultColWidth="8.9140625" defaultRowHeight="15.5" x14ac:dyDescent="0.35"/>
  <cols>
    <col min="1" max="1" width="4" customWidth="1"/>
    <col min="2" max="2" width="7.58203125" customWidth="1"/>
    <col min="3" max="3" width="10.08203125" customWidth="1"/>
  </cols>
  <sheetData>
    <row r="1" spans="1:10" ht="48" customHeight="1" x14ac:dyDescent="0.35">
      <c r="A1" s="225" t="s">
        <v>13</v>
      </c>
      <c r="B1" s="226"/>
      <c r="C1" s="226"/>
      <c r="D1" s="226"/>
      <c r="E1" s="226"/>
      <c r="F1" s="226"/>
      <c r="G1" s="226"/>
    </row>
    <row r="2" spans="1:10" x14ac:dyDescent="0.35">
      <c r="A2" t="s">
        <v>75</v>
      </c>
      <c r="B2">
        <v>18</v>
      </c>
      <c r="C2">
        <v>-2</v>
      </c>
      <c r="D2" t="s">
        <v>11</v>
      </c>
    </row>
    <row r="3" spans="1:10" x14ac:dyDescent="0.35">
      <c r="A3" t="s">
        <v>50</v>
      </c>
      <c r="B3">
        <v>-4</v>
      </c>
      <c r="C3">
        <v>4</v>
      </c>
      <c r="D3" t="s">
        <v>11</v>
      </c>
    </row>
    <row r="4" spans="1:10" x14ac:dyDescent="0.35">
      <c r="A4" t="s">
        <v>12</v>
      </c>
      <c r="B4">
        <v>10</v>
      </c>
    </row>
    <row r="5" spans="1:10" x14ac:dyDescent="0.35">
      <c r="A5" t="s">
        <v>14</v>
      </c>
      <c r="B5">
        <v>4</v>
      </c>
    </row>
    <row r="7" spans="1:10" x14ac:dyDescent="0.35">
      <c r="A7" t="s">
        <v>15</v>
      </c>
      <c r="C7">
        <f>+(B2-B3)/(C3-C2)</f>
        <v>3.6666666666666665</v>
      </c>
    </row>
    <row r="8" spans="1:10" x14ac:dyDescent="0.35">
      <c r="A8" t="s">
        <v>16</v>
      </c>
      <c r="C8">
        <f>+B2+C2*C7</f>
        <v>10.666666666666668</v>
      </c>
    </row>
    <row r="9" spans="1:10" x14ac:dyDescent="0.35">
      <c r="A9" t="s">
        <v>17</v>
      </c>
    </row>
    <row r="10" spans="1:10" x14ac:dyDescent="0.35">
      <c r="A10" t="s">
        <v>18</v>
      </c>
      <c r="B10">
        <f>+B4</f>
        <v>10</v>
      </c>
    </row>
    <row r="11" spans="1:10" x14ac:dyDescent="0.35">
      <c r="A11" t="s">
        <v>19</v>
      </c>
      <c r="C11">
        <f>+B2</f>
        <v>18</v>
      </c>
      <c r="D11">
        <f>+C2</f>
        <v>-2</v>
      </c>
      <c r="E11" t="s">
        <v>20</v>
      </c>
      <c r="F11">
        <f>B4</f>
        <v>10</v>
      </c>
    </row>
    <row r="12" spans="1:10" x14ac:dyDescent="0.35">
      <c r="C12" t="s">
        <v>20</v>
      </c>
      <c r="D12">
        <f>+(F11-C11)/D11</f>
        <v>4</v>
      </c>
    </row>
    <row r="13" spans="1:10" x14ac:dyDescent="0.35">
      <c r="C13" t="s">
        <v>50</v>
      </c>
      <c r="D13">
        <f>+B3+C3*D12</f>
        <v>12</v>
      </c>
    </row>
    <row r="14" spans="1:10" x14ac:dyDescent="0.35">
      <c r="C14" t="s">
        <v>21</v>
      </c>
      <c r="D14" t="s">
        <v>22</v>
      </c>
      <c r="E14">
        <f>+D12</f>
        <v>4</v>
      </c>
      <c r="F14">
        <f>-C7</f>
        <v>-3.6666666666666665</v>
      </c>
      <c r="G14" t="s">
        <v>23</v>
      </c>
      <c r="H14">
        <f>C8</f>
        <v>10.666666666666668</v>
      </c>
      <c r="I14">
        <f>-B10</f>
        <v>-10</v>
      </c>
      <c r="J14" t="s">
        <v>184</v>
      </c>
    </row>
    <row r="15" spans="1:10" x14ac:dyDescent="0.35">
      <c r="D15">
        <f>0.5*(D12-C7)*(D13-F11)</f>
        <v>0.33333333333333348</v>
      </c>
    </row>
    <row r="16" spans="1:10" x14ac:dyDescent="0.35">
      <c r="D16">
        <f>(12-10)*(4-3.67)*0.5</f>
        <v>0.33000000000000007</v>
      </c>
    </row>
  </sheetData>
  <mergeCells count="1">
    <mergeCell ref="A1:G1"/>
  </mergeCells>
  <phoneticPr fontId="18"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8"/>
  <sheetViews>
    <sheetView topLeftCell="A11" workbookViewId="0">
      <selection activeCell="M22" sqref="L22:M23"/>
    </sheetView>
  </sheetViews>
  <sheetFormatPr defaultRowHeight="15.5" x14ac:dyDescent="0.35"/>
  <cols>
    <col min="2" max="2" width="8.58203125" customWidth="1"/>
    <col min="3" max="3" width="16.6640625" customWidth="1"/>
    <col min="5" max="5" width="4.6640625" customWidth="1"/>
    <col min="6" max="6" width="4.1640625" customWidth="1"/>
  </cols>
  <sheetData>
    <row r="1" spans="1:10" x14ac:dyDescent="0.35">
      <c r="C1" s="140" t="s">
        <v>605</v>
      </c>
      <c r="E1" s="160" t="s">
        <v>1016</v>
      </c>
      <c r="F1">
        <f>COUNTA(F2:F28)</f>
        <v>27</v>
      </c>
      <c r="G1" s="30" t="s">
        <v>109</v>
      </c>
      <c r="H1" s="30" t="s">
        <v>1021</v>
      </c>
      <c r="J1" s="160" t="s">
        <v>1020</v>
      </c>
    </row>
    <row r="2" spans="1:10" x14ac:dyDescent="0.35">
      <c r="A2" s="160" t="s">
        <v>428</v>
      </c>
      <c r="B2" s="140" t="s">
        <v>605</v>
      </c>
      <c r="C2" t="s">
        <v>606</v>
      </c>
      <c r="E2" s="160" t="str">
        <f t="shared" ref="E2:E18" si="0">LEFT(G2,3)</f>
        <v>Aus</v>
      </c>
      <c r="F2" s="160" t="s">
        <v>1016</v>
      </c>
      <c r="G2" s="160" t="s">
        <v>206</v>
      </c>
      <c r="H2" t="s">
        <v>1000</v>
      </c>
    </row>
    <row r="3" spans="1:10" x14ac:dyDescent="0.35">
      <c r="A3" s="160" t="s">
        <v>429</v>
      </c>
      <c r="B3" s="140" t="s">
        <v>605</v>
      </c>
      <c r="C3" t="s">
        <v>607</v>
      </c>
      <c r="E3" s="160" t="str">
        <f t="shared" si="0"/>
        <v>Bel</v>
      </c>
      <c r="F3" s="160" t="s">
        <v>1016</v>
      </c>
      <c r="G3" s="160" t="s">
        <v>117</v>
      </c>
      <c r="H3" t="s">
        <v>1001</v>
      </c>
    </row>
    <row r="4" spans="1:10" x14ac:dyDescent="0.35">
      <c r="A4" s="160" t="str">
        <f>LEFT(C4,3)</f>
        <v>Bra</v>
      </c>
      <c r="B4" s="140" t="s">
        <v>605</v>
      </c>
      <c r="C4" t="s">
        <v>608</v>
      </c>
      <c r="E4" s="160" t="str">
        <f t="shared" si="0"/>
        <v>Bul</v>
      </c>
      <c r="F4" s="160" t="s">
        <v>1016</v>
      </c>
      <c r="G4" s="160" t="s">
        <v>220</v>
      </c>
      <c r="H4" t="s">
        <v>1002</v>
      </c>
    </row>
    <row r="5" spans="1:10" x14ac:dyDescent="0.35">
      <c r="A5" s="160" t="str">
        <f t="shared" ref="A5:A19" si="1">LEFT(C5,3)</f>
        <v>Can</v>
      </c>
      <c r="B5" s="140" t="s">
        <v>605</v>
      </c>
      <c r="C5" t="s">
        <v>609</v>
      </c>
      <c r="E5" s="160" t="str">
        <f t="shared" si="0"/>
        <v>Cyp</v>
      </c>
      <c r="F5" s="160" t="s">
        <v>1016</v>
      </c>
      <c r="G5" s="160" t="s">
        <v>236</v>
      </c>
      <c r="H5" t="s">
        <v>1001</v>
      </c>
    </row>
    <row r="6" spans="1:10" x14ac:dyDescent="0.35">
      <c r="A6" s="160" t="str">
        <f t="shared" si="1"/>
        <v>Chi</v>
      </c>
      <c r="B6" s="140" t="s">
        <v>605</v>
      </c>
      <c r="C6" t="s">
        <v>610</v>
      </c>
      <c r="E6" s="160" t="str">
        <f t="shared" si="0"/>
        <v>Cze</v>
      </c>
      <c r="F6" s="160" t="s">
        <v>1016</v>
      </c>
      <c r="G6" s="160" t="s">
        <v>186</v>
      </c>
      <c r="H6" t="s">
        <v>1003</v>
      </c>
    </row>
    <row r="7" spans="1:10" x14ac:dyDescent="0.35">
      <c r="A7" s="160" t="s">
        <v>1016</v>
      </c>
      <c r="B7" s="140" t="s">
        <v>605</v>
      </c>
      <c r="C7" t="s">
        <v>449</v>
      </c>
      <c r="E7" s="160" t="str">
        <f t="shared" si="0"/>
        <v>Den</v>
      </c>
      <c r="F7" s="160" t="s">
        <v>1016</v>
      </c>
      <c r="G7" s="160" t="s">
        <v>237</v>
      </c>
      <c r="H7" t="s">
        <v>1004</v>
      </c>
    </row>
    <row r="8" spans="1:10" x14ac:dyDescent="0.35">
      <c r="A8" s="160" t="str">
        <f t="shared" si="1"/>
        <v>Fra</v>
      </c>
      <c r="B8" s="140" t="s">
        <v>605</v>
      </c>
      <c r="C8" t="s">
        <v>611</v>
      </c>
      <c r="E8" s="160" t="str">
        <f t="shared" si="0"/>
        <v>Est</v>
      </c>
      <c r="F8" s="160" t="s">
        <v>1016</v>
      </c>
      <c r="G8" s="160" t="s">
        <v>245</v>
      </c>
      <c r="H8" t="s">
        <v>1005</v>
      </c>
    </row>
    <row r="9" spans="1:10" x14ac:dyDescent="0.35">
      <c r="A9" s="160" t="str">
        <f t="shared" si="1"/>
        <v>Ger</v>
      </c>
      <c r="B9" s="140" t="s">
        <v>605</v>
      </c>
      <c r="C9" t="s">
        <v>612</v>
      </c>
      <c r="E9" s="160" t="str">
        <f t="shared" si="0"/>
        <v>Fin</v>
      </c>
      <c r="F9" s="160" t="s">
        <v>1016</v>
      </c>
      <c r="G9" s="160" t="s">
        <v>248</v>
      </c>
      <c r="H9" t="s">
        <v>1005</v>
      </c>
    </row>
    <row r="10" spans="1:10" x14ac:dyDescent="0.35">
      <c r="A10" s="160" t="str">
        <f t="shared" si="1"/>
        <v>Ind</v>
      </c>
      <c r="B10" s="140" t="s">
        <v>605</v>
      </c>
      <c r="C10" t="s">
        <v>613</v>
      </c>
      <c r="E10" s="160" t="str">
        <f t="shared" si="0"/>
        <v>Fra</v>
      </c>
      <c r="F10" s="160" t="s">
        <v>1016</v>
      </c>
      <c r="G10" s="160" t="s">
        <v>118</v>
      </c>
      <c r="H10" t="s">
        <v>1006</v>
      </c>
    </row>
    <row r="11" spans="1:10" x14ac:dyDescent="0.35">
      <c r="A11" s="160" t="s">
        <v>459</v>
      </c>
      <c r="B11" s="140" t="s">
        <v>605</v>
      </c>
      <c r="C11" t="s">
        <v>614</v>
      </c>
      <c r="E11" s="160" t="str">
        <f t="shared" si="0"/>
        <v>Ger</v>
      </c>
      <c r="F11" s="160" t="s">
        <v>1016</v>
      </c>
      <c r="G11" s="160" t="s">
        <v>119</v>
      </c>
      <c r="H11" t="s">
        <v>1007</v>
      </c>
    </row>
    <row r="12" spans="1:10" x14ac:dyDescent="0.35">
      <c r="A12" s="160" t="str">
        <f t="shared" si="1"/>
        <v>Ita</v>
      </c>
      <c r="B12" s="140" t="s">
        <v>605</v>
      </c>
      <c r="C12" t="s">
        <v>615</v>
      </c>
      <c r="E12" s="160" t="str">
        <f t="shared" si="0"/>
        <v>Gre</v>
      </c>
      <c r="F12" s="160" t="s">
        <v>1016</v>
      </c>
      <c r="G12" s="160" t="s">
        <v>253</v>
      </c>
      <c r="H12" t="s">
        <v>1001</v>
      </c>
    </row>
    <row r="13" spans="1:10" x14ac:dyDescent="0.35">
      <c r="A13" s="160" t="str">
        <f t="shared" si="1"/>
        <v>Jap</v>
      </c>
      <c r="B13" s="140" t="s">
        <v>605</v>
      </c>
      <c r="C13" t="s">
        <v>616</v>
      </c>
      <c r="E13" s="160" t="str">
        <f t="shared" si="0"/>
        <v>Hun</v>
      </c>
      <c r="F13" s="160" t="s">
        <v>1016</v>
      </c>
      <c r="G13" s="160" t="s">
        <v>187</v>
      </c>
      <c r="H13" t="s">
        <v>1008</v>
      </c>
    </row>
    <row r="14" spans="1:10" x14ac:dyDescent="0.35">
      <c r="A14" s="160" t="str">
        <f t="shared" si="1"/>
        <v>Mex</v>
      </c>
      <c r="B14" s="140" t="s">
        <v>605</v>
      </c>
      <c r="C14" t="s">
        <v>617</v>
      </c>
      <c r="E14" s="160" t="str">
        <f t="shared" si="0"/>
        <v>Ire</v>
      </c>
      <c r="F14" s="160" t="s">
        <v>1016</v>
      </c>
      <c r="G14" s="160" t="s">
        <v>264</v>
      </c>
      <c r="H14" t="s">
        <v>1004</v>
      </c>
    </row>
    <row r="15" spans="1:10" x14ac:dyDescent="0.35">
      <c r="A15" s="160" t="str">
        <f t="shared" si="1"/>
        <v>Rus</v>
      </c>
      <c r="B15" s="140" t="s">
        <v>605</v>
      </c>
      <c r="C15" t="s">
        <v>618</v>
      </c>
      <c r="E15" s="160" t="str">
        <f t="shared" si="0"/>
        <v>Ita</v>
      </c>
      <c r="F15" s="160" t="s">
        <v>1016</v>
      </c>
      <c r="G15" s="160" t="s">
        <v>122</v>
      </c>
      <c r="H15" t="s">
        <v>1008</v>
      </c>
    </row>
    <row r="16" spans="1:10" x14ac:dyDescent="0.35">
      <c r="A16" s="160" t="str">
        <f t="shared" si="1"/>
        <v>Sau</v>
      </c>
      <c r="B16" s="140" t="s">
        <v>605</v>
      </c>
      <c r="C16" t="s">
        <v>619</v>
      </c>
      <c r="E16" s="160" t="str">
        <f t="shared" si="0"/>
        <v>Lat</v>
      </c>
      <c r="F16" s="160" t="s">
        <v>1016</v>
      </c>
      <c r="G16" s="160" t="s">
        <v>274</v>
      </c>
      <c r="H16" t="s">
        <v>1009</v>
      </c>
    </row>
    <row r="17" spans="1:8" x14ac:dyDescent="0.35">
      <c r="A17" s="160" t="s">
        <v>1017</v>
      </c>
      <c r="B17" s="140" t="s">
        <v>605</v>
      </c>
      <c r="C17" t="s">
        <v>620</v>
      </c>
      <c r="E17" s="160" t="str">
        <f t="shared" si="0"/>
        <v>Lit</v>
      </c>
      <c r="F17" s="160" t="s">
        <v>1016</v>
      </c>
      <c r="G17" s="160" t="s">
        <v>278</v>
      </c>
      <c r="H17" t="s">
        <v>1010</v>
      </c>
    </row>
    <row r="18" spans="1:8" x14ac:dyDescent="0.35">
      <c r="A18" s="160" t="s">
        <v>467</v>
      </c>
      <c r="B18" s="140" t="s">
        <v>605</v>
      </c>
      <c r="C18" t="s">
        <v>621</v>
      </c>
      <c r="E18" s="160" t="str">
        <f t="shared" si="0"/>
        <v>Lux</v>
      </c>
      <c r="F18" s="160" t="s">
        <v>1016</v>
      </c>
      <c r="G18" s="160" t="s">
        <v>279</v>
      </c>
      <c r="H18" t="s">
        <v>1011</v>
      </c>
    </row>
    <row r="19" spans="1:8" x14ac:dyDescent="0.35">
      <c r="A19" s="160" t="str">
        <f t="shared" si="1"/>
        <v>Tur</v>
      </c>
      <c r="B19" s="140" t="s">
        <v>605</v>
      </c>
      <c r="C19" t="s">
        <v>622</v>
      </c>
      <c r="E19" s="160" t="s">
        <v>1018</v>
      </c>
      <c r="F19" s="160" t="s">
        <v>1016</v>
      </c>
      <c r="G19" s="160" t="s">
        <v>286</v>
      </c>
      <c r="H19" t="s">
        <v>1010</v>
      </c>
    </row>
    <row r="20" spans="1:8" x14ac:dyDescent="0.35">
      <c r="A20" s="160" t="s">
        <v>513</v>
      </c>
      <c r="B20" s="140" t="s">
        <v>605</v>
      </c>
      <c r="C20" t="s">
        <v>623</v>
      </c>
      <c r="E20" s="160" t="str">
        <f>LEFT(G20,3)</f>
        <v>Net</v>
      </c>
      <c r="F20" s="160" t="s">
        <v>1016</v>
      </c>
      <c r="G20" s="160" t="s">
        <v>123</v>
      </c>
      <c r="H20" t="s">
        <v>1001</v>
      </c>
    </row>
    <row r="21" spans="1:8" x14ac:dyDescent="0.35">
      <c r="A21" s="160" t="s">
        <v>515</v>
      </c>
      <c r="B21" s="140" t="s">
        <v>605</v>
      </c>
      <c r="C21" t="s">
        <v>112</v>
      </c>
      <c r="E21" s="160" t="str">
        <f>LEFT(G21,3)</f>
        <v>Pol</v>
      </c>
      <c r="F21" s="160" t="s">
        <v>1016</v>
      </c>
      <c r="G21" s="160" t="s">
        <v>188</v>
      </c>
      <c r="H21" t="s">
        <v>1001</v>
      </c>
    </row>
    <row r="22" spans="1:8" x14ac:dyDescent="0.35">
      <c r="E22" s="160" t="str">
        <f>LEFT(G22,3)</f>
        <v>Por</v>
      </c>
      <c r="F22" s="160" t="s">
        <v>1016</v>
      </c>
      <c r="G22" s="160" t="s">
        <v>308</v>
      </c>
      <c r="H22" t="s">
        <v>1008</v>
      </c>
    </row>
    <row r="23" spans="1:8" x14ac:dyDescent="0.35">
      <c r="E23" s="160" t="str">
        <f>LEFT(G23,3)</f>
        <v>Rom</v>
      </c>
      <c r="F23" s="160" t="s">
        <v>1016</v>
      </c>
      <c r="G23" s="160" t="s">
        <v>189</v>
      </c>
      <c r="H23" t="s">
        <v>1001</v>
      </c>
    </row>
    <row r="24" spans="1:8" x14ac:dyDescent="0.35">
      <c r="E24" s="160" t="s">
        <v>504</v>
      </c>
      <c r="F24" s="160" t="s">
        <v>1016</v>
      </c>
      <c r="G24" s="160" t="s">
        <v>376</v>
      </c>
      <c r="H24" t="s">
        <v>1012</v>
      </c>
    </row>
    <row r="25" spans="1:8" x14ac:dyDescent="0.35">
      <c r="E25" s="160" t="s">
        <v>1019</v>
      </c>
      <c r="F25" s="160" t="s">
        <v>1016</v>
      </c>
      <c r="G25" s="160" t="s">
        <v>319</v>
      </c>
      <c r="H25" t="s">
        <v>1013</v>
      </c>
    </row>
    <row r="26" spans="1:8" x14ac:dyDescent="0.35">
      <c r="E26" s="160" t="str">
        <f>LEFT(G26,3)</f>
        <v>Spa</v>
      </c>
      <c r="F26" s="160" t="s">
        <v>1016</v>
      </c>
      <c r="G26" s="160" t="s">
        <v>124</v>
      </c>
      <c r="H26" t="s">
        <v>1014</v>
      </c>
    </row>
    <row r="27" spans="1:8" x14ac:dyDescent="0.35">
      <c r="E27" s="160" t="str">
        <f>LEFT(G27,3)</f>
        <v>Swe</v>
      </c>
      <c r="F27" s="160" t="s">
        <v>1016</v>
      </c>
      <c r="G27" s="160" t="s">
        <v>145</v>
      </c>
      <c r="H27" t="s">
        <v>1015</v>
      </c>
    </row>
    <row r="28" spans="1:8" x14ac:dyDescent="0.35">
      <c r="E28" s="160" t="s">
        <v>513</v>
      </c>
      <c r="F28" s="160" t="s">
        <v>1016</v>
      </c>
      <c r="G28" s="160" t="s">
        <v>126</v>
      </c>
      <c r="H28" t="s">
        <v>1001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workbookViewId="0">
      <selection activeCell="F54" sqref="F54"/>
    </sheetView>
  </sheetViews>
  <sheetFormatPr defaultRowHeight="15.5" x14ac:dyDescent="0.35"/>
  <cols>
    <col min="1" max="1" width="5.1640625" customWidth="1"/>
    <col min="2" max="2" width="12.5" style="163" customWidth="1"/>
    <col min="3" max="3" width="6.4140625" style="163" customWidth="1"/>
    <col min="4" max="4" width="9.75" style="163" customWidth="1"/>
    <col min="5" max="5" width="9.5" style="163" customWidth="1"/>
    <col min="6" max="6" width="7.6640625" style="163" customWidth="1"/>
    <col min="7" max="7" width="6.08203125" style="182" customWidth="1"/>
    <col min="8" max="8" width="9.4140625" style="163" customWidth="1"/>
    <col min="9" max="9" width="8.9140625" style="163" customWidth="1"/>
    <col min="10" max="10" width="15.5" style="163" customWidth="1"/>
    <col min="11" max="11" width="12.5" style="163" customWidth="1"/>
    <col min="12" max="12" width="16.5" style="163" customWidth="1"/>
    <col min="13" max="14" width="12.5" style="163" customWidth="1"/>
  </cols>
  <sheetData>
    <row r="1" spans="1:15" ht="13.5" customHeight="1" thickBot="1" x14ac:dyDescent="0.4">
      <c r="D1" s="162"/>
      <c r="F1" s="161" t="s">
        <v>984</v>
      </c>
      <c r="J1" s="230" t="s">
        <v>639</v>
      </c>
      <c r="K1" s="230" t="s">
        <v>640</v>
      </c>
      <c r="L1" s="164" t="s">
        <v>641</v>
      </c>
      <c r="M1" s="230" t="s">
        <v>645</v>
      </c>
      <c r="N1" s="230" t="s">
        <v>646</v>
      </c>
      <c r="O1" s="98" t="s">
        <v>983</v>
      </c>
    </row>
    <row r="2" spans="1:15" ht="13.5" customHeight="1" x14ac:dyDescent="0.35">
      <c r="B2" s="165"/>
      <c r="D2" s="165" t="s">
        <v>630</v>
      </c>
      <c r="E2" s="161" t="s">
        <v>630</v>
      </c>
      <c r="F2" s="165" t="s">
        <v>631</v>
      </c>
      <c r="J2" s="231"/>
      <c r="K2" s="231"/>
      <c r="L2" s="166" t="s">
        <v>642</v>
      </c>
      <c r="M2" s="231"/>
      <c r="N2" s="231"/>
    </row>
    <row r="3" spans="1:15" ht="13.5" customHeight="1" x14ac:dyDescent="0.35">
      <c r="B3" s="165"/>
      <c r="C3" s="165"/>
      <c r="D3" s="165" t="s">
        <v>631</v>
      </c>
      <c r="E3" s="165" t="s">
        <v>631</v>
      </c>
      <c r="F3" s="165" t="s">
        <v>635</v>
      </c>
      <c r="H3" s="243" t="s">
        <v>1032</v>
      </c>
      <c r="I3" s="244"/>
      <c r="J3" s="231"/>
      <c r="K3" s="231"/>
      <c r="L3" s="166" t="s">
        <v>643</v>
      </c>
      <c r="M3" s="231"/>
      <c r="N3" s="231"/>
    </row>
    <row r="4" spans="1:15" ht="13.5" customHeight="1" thickBot="1" x14ac:dyDescent="0.4">
      <c r="B4" s="165"/>
      <c r="C4" s="165"/>
      <c r="D4" s="165" t="s">
        <v>632</v>
      </c>
      <c r="E4" s="165" t="s">
        <v>632</v>
      </c>
      <c r="F4" s="165" t="s">
        <v>636</v>
      </c>
      <c r="H4" s="245" t="s">
        <v>1029</v>
      </c>
      <c r="I4" s="246"/>
      <c r="J4" s="232"/>
      <c r="K4" s="232"/>
      <c r="L4" s="167" t="s">
        <v>644</v>
      </c>
      <c r="M4" s="232"/>
      <c r="N4" s="232"/>
      <c r="O4" t="s">
        <v>1023</v>
      </c>
    </row>
    <row r="5" spans="1:15" ht="13.5" customHeight="1" thickBot="1" x14ac:dyDescent="0.4">
      <c r="B5" s="161" t="s">
        <v>997</v>
      </c>
      <c r="C5" s="161" t="s">
        <v>628</v>
      </c>
      <c r="D5" s="165" t="s">
        <v>633</v>
      </c>
      <c r="E5" s="165" t="s">
        <v>634</v>
      </c>
      <c r="F5" s="165" t="s">
        <v>637</v>
      </c>
      <c r="G5" s="191" t="s">
        <v>1031</v>
      </c>
      <c r="H5" s="186" t="s">
        <v>1033</v>
      </c>
      <c r="I5" s="186" t="s">
        <v>1033</v>
      </c>
      <c r="J5" s="168" t="s">
        <v>647</v>
      </c>
      <c r="K5" s="168"/>
      <c r="L5" s="168" t="s">
        <v>648</v>
      </c>
      <c r="M5" s="169">
        <v>38533</v>
      </c>
      <c r="N5" s="168"/>
      <c r="O5" s="185">
        <v>343866009</v>
      </c>
    </row>
    <row r="6" spans="1:15" ht="13.5" customHeight="1" thickBot="1" x14ac:dyDescent="0.4">
      <c r="B6" s="165" t="s">
        <v>998</v>
      </c>
      <c r="C6" s="165" t="s">
        <v>629</v>
      </c>
      <c r="D6" s="165" t="s">
        <v>996</v>
      </c>
      <c r="E6" s="165" t="s">
        <v>996</v>
      </c>
      <c r="F6" s="165" t="s">
        <v>638</v>
      </c>
      <c r="G6" s="191" t="s">
        <v>85</v>
      </c>
      <c r="H6" s="186" t="s">
        <v>996</v>
      </c>
      <c r="I6" s="186" t="s">
        <v>996</v>
      </c>
      <c r="J6" s="168" t="s">
        <v>649</v>
      </c>
      <c r="K6" s="168"/>
      <c r="L6" s="170" t="s">
        <v>650</v>
      </c>
      <c r="M6" s="169">
        <v>38489</v>
      </c>
      <c r="N6" s="168"/>
      <c r="O6" s="185">
        <v>673995528</v>
      </c>
    </row>
    <row r="7" spans="1:15" ht="19" customHeight="1" thickBot="1" x14ac:dyDescent="0.4">
      <c r="A7" s="160" t="s">
        <v>1022</v>
      </c>
      <c r="B7" s="242" t="s">
        <v>113</v>
      </c>
      <c r="C7" s="242"/>
      <c r="D7" s="171" t="s">
        <v>627</v>
      </c>
      <c r="E7" s="171" t="s">
        <v>627</v>
      </c>
      <c r="F7" s="171">
        <v>20.399999999999999</v>
      </c>
      <c r="G7" s="190"/>
      <c r="I7" s="187"/>
      <c r="J7" s="168" t="s">
        <v>651</v>
      </c>
      <c r="K7" s="168"/>
      <c r="L7" s="168" t="s">
        <v>652</v>
      </c>
      <c r="M7" s="168" t="s">
        <v>653</v>
      </c>
      <c r="N7" s="168"/>
      <c r="O7" s="185">
        <v>610045827</v>
      </c>
    </row>
    <row r="8" spans="1:15" ht="15" customHeight="1" thickBot="1" x14ac:dyDescent="0.4">
      <c r="A8" s="160" t="s">
        <v>438</v>
      </c>
      <c r="B8" s="171" t="s">
        <v>110</v>
      </c>
      <c r="C8" s="171">
        <v>-6</v>
      </c>
      <c r="D8" s="171">
        <v>33.6</v>
      </c>
      <c r="E8" s="171">
        <v>24.1</v>
      </c>
      <c r="F8" s="171">
        <v>20.399999999999999</v>
      </c>
      <c r="G8" s="192">
        <v>1990</v>
      </c>
      <c r="H8" s="196">
        <v>17</v>
      </c>
      <c r="I8" s="197">
        <v>29.8</v>
      </c>
      <c r="J8" s="194" t="s">
        <v>654</v>
      </c>
      <c r="K8" s="169">
        <v>35870</v>
      </c>
      <c r="L8" s="168" t="s">
        <v>655</v>
      </c>
      <c r="M8" s="169">
        <v>38399</v>
      </c>
      <c r="N8" s="168"/>
      <c r="O8" s="185">
        <v>2791792771</v>
      </c>
    </row>
    <row r="9" spans="1:15" ht="16" thickBot="1" x14ac:dyDescent="0.4">
      <c r="B9" s="30" t="s">
        <v>544</v>
      </c>
      <c r="C9" s="171"/>
      <c r="D9" s="171"/>
      <c r="E9" s="171"/>
      <c r="F9" s="171">
        <v>-4.9000000000000004</v>
      </c>
      <c r="G9" s="192">
        <v>1990</v>
      </c>
      <c r="H9" s="198">
        <v>-17.399999999999999</v>
      </c>
      <c r="I9" s="197">
        <v>-20.2</v>
      </c>
      <c r="J9" s="194" t="s">
        <v>656</v>
      </c>
      <c r="K9" s="169">
        <v>35870</v>
      </c>
      <c r="L9" s="169">
        <v>37162</v>
      </c>
      <c r="M9" s="169">
        <v>38399</v>
      </c>
      <c r="N9" s="168"/>
      <c r="O9" s="185">
        <v>893541801</v>
      </c>
    </row>
    <row r="10" spans="1:15" ht="16" thickBot="1" x14ac:dyDescent="0.4">
      <c r="A10" s="160" t="s">
        <v>430</v>
      </c>
      <c r="B10" s="171" t="s">
        <v>206</v>
      </c>
      <c r="C10" s="171">
        <v>-13</v>
      </c>
      <c r="D10" s="171">
        <v>6.6</v>
      </c>
      <c r="E10" s="171">
        <v>10.8</v>
      </c>
      <c r="F10" s="171">
        <v>12.2</v>
      </c>
      <c r="G10" s="192">
        <v>1990</v>
      </c>
      <c r="H10" s="197">
        <v>2.4</v>
      </c>
      <c r="I10" s="197">
        <v>-3</v>
      </c>
      <c r="J10" s="194" t="s">
        <v>657</v>
      </c>
      <c r="K10" s="168"/>
      <c r="L10" s="170" t="s">
        <v>658</v>
      </c>
      <c r="M10" s="169">
        <v>38399</v>
      </c>
      <c r="N10" s="168"/>
      <c r="O10" s="185">
        <v>276838955</v>
      </c>
    </row>
    <row r="11" spans="1:15" ht="17.5" customHeight="1" thickBot="1" x14ac:dyDescent="0.4">
      <c r="A11" t="str">
        <f>LEFT(B11,3)</f>
        <v>Bel</v>
      </c>
      <c r="B11" s="171" t="s">
        <v>117</v>
      </c>
      <c r="C11" s="171">
        <v>-7.5</v>
      </c>
      <c r="D11" s="171">
        <v>-6.2</v>
      </c>
      <c r="E11" s="171">
        <v>-7.1</v>
      </c>
      <c r="F11" s="171">
        <v>-6.7</v>
      </c>
      <c r="G11" s="192">
        <v>1990</v>
      </c>
      <c r="H11" s="198">
        <v>-13.2</v>
      </c>
      <c r="I11" s="197">
        <v>-13.4</v>
      </c>
      <c r="J11" s="194" t="s">
        <v>659</v>
      </c>
      <c r="K11" s="169">
        <v>35914</v>
      </c>
      <c r="L11" s="169">
        <v>39428</v>
      </c>
      <c r="M11" s="169">
        <v>39518</v>
      </c>
      <c r="N11" s="172">
        <v>2.1000000000000001E-2</v>
      </c>
      <c r="O11" s="185">
        <v>196062637</v>
      </c>
    </row>
    <row r="12" spans="1:15" ht="16" thickBot="1" x14ac:dyDescent="0.4">
      <c r="A12" t="str">
        <f t="shared" ref="A12:A46" si="0">LEFT(B12,3)</f>
        <v>Den</v>
      </c>
      <c r="B12" s="171" t="s">
        <v>237</v>
      </c>
      <c r="C12" s="171">
        <v>-21</v>
      </c>
      <c r="D12" s="171">
        <v>-6.8</v>
      </c>
      <c r="E12" s="171">
        <v>-6.8</v>
      </c>
      <c r="F12" s="171">
        <v>-7.2</v>
      </c>
      <c r="G12" s="192">
        <v>1990</v>
      </c>
      <c r="H12" s="198">
        <v>-10.199999999999999</v>
      </c>
      <c r="I12" s="197">
        <v>-15.6</v>
      </c>
      <c r="J12" s="194" t="s">
        <v>660</v>
      </c>
      <c r="K12" s="169">
        <v>35914</v>
      </c>
      <c r="L12" s="169">
        <v>37407</v>
      </c>
      <c r="M12" s="169">
        <v>38399</v>
      </c>
      <c r="N12" s="172">
        <v>4.0000000000000001E-3</v>
      </c>
      <c r="O12" s="185">
        <v>19621381509</v>
      </c>
    </row>
    <row r="13" spans="1:15" ht="17.5" customHeight="1" thickBot="1" x14ac:dyDescent="0.4">
      <c r="A13" t="str">
        <f t="shared" si="0"/>
        <v>Fin</v>
      </c>
      <c r="B13" s="171" t="s">
        <v>248</v>
      </c>
      <c r="C13" s="171">
        <v>0</v>
      </c>
      <c r="D13" s="171">
        <v>-35.9</v>
      </c>
      <c r="E13" s="171">
        <v>-0.2</v>
      </c>
      <c r="F13" s="171">
        <v>1.1000000000000001</v>
      </c>
      <c r="G13" s="192">
        <v>1990</v>
      </c>
      <c r="H13" s="198">
        <v>-5.7</v>
      </c>
      <c r="I13" s="197">
        <v>-53.4</v>
      </c>
      <c r="J13" s="194" t="s">
        <v>661</v>
      </c>
      <c r="K13" s="168"/>
      <c r="L13" s="170" t="s">
        <v>662</v>
      </c>
      <c r="M13" s="169">
        <v>38399</v>
      </c>
      <c r="N13" s="168"/>
      <c r="O13" s="185">
        <v>355017545</v>
      </c>
    </row>
    <row r="14" spans="1:15" ht="16" thickBot="1" x14ac:dyDescent="0.4">
      <c r="A14" t="str">
        <f t="shared" si="0"/>
        <v>Fra</v>
      </c>
      <c r="B14" s="171" t="s">
        <v>118</v>
      </c>
      <c r="C14" s="171">
        <v>0</v>
      </c>
      <c r="D14" s="171">
        <v>-12.7</v>
      </c>
      <c r="E14" s="171">
        <v>-5.9</v>
      </c>
      <c r="F14" s="163">
        <v>0.6</v>
      </c>
      <c r="G14" s="192">
        <v>1990</v>
      </c>
      <c r="H14" s="198">
        <v>-7.7</v>
      </c>
      <c r="I14" s="197">
        <v>-12.9</v>
      </c>
      <c r="J14" s="194" t="s">
        <v>663</v>
      </c>
      <c r="K14" s="168"/>
      <c r="L14" s="168" t="s">
        <v>664</v>
      </c>
      <c r="M14" s="169">
        <v>38399</v>
      </c>
      <c r="N14" s="168"/>
      <c r="O14" s="185">
        <v>2819626640</v>
      </c>
    </row>
    <row r="15" spans="1:15" ht="16" thickBot="1" x14ac:dyDescent="0.4">
      <c r="A15" t="str">
        <f t="shared" si="0"/>
        <v>Ger</v>
      </c>
      <c r="B15" s="171" t="s">
        <v>119</v>
      </c>
      <c r="C15" s="171">
        <v>-21</v>
      </c>
      <c r="D15" s="171">
        <v>-17.600000000000001</v>
      </c>
      <c r="E15" s="171">
        <v>-21.4</v>
      </c>
      <c r="F15" s="171">
        <v>-21.1</v>
      </c>
      <c r="G15" s="192">
        <v>1990</v>
      </c>
      <c r="H15" s="198">
        <v>-26.3</v>
      </c>
      <c r="I15" s="197">
        <v>-23</v>
      </c>
      <c r="J15" s="194" t="s">
        <v>665</v>
      </c>
      <c r="K15" s="168"/>
      <c r="L15" s="170" t="s">
        <v>666</v>
      </c>
      <c r="M15" s="168" t="s">
        <v>667</v>
      </c>
      <c r="N15" s="168"/>
      <c r="O15" s="185">
        <v>4868096694</v>
      </c>
    </row>
    <row r="16" spans="1:15" ht="16.5" customHeight="1" thickBot="1" x14ac:dyDescent="0.4">
      <c r="A16" t="str">
        <f t="shared" si="0"/>
        <v>Gre</v>
      </c>
      <c r="B16" s="171" t="s">
        <v>253</v>
      </c>
      <c r="C16" s="171">
        <v>25</v>
      </c>
      <c r="D16" s="171">
        <v>22.9</v>
      </c>
      <c r="E16" s="171">
        <v>23.1</v>
      </c>
      <c r="F16" s="171">
        <v>28.6</v>
      </c>
      <c r="G16" s="192">
        <v>1990</v>
      </c>
      <c r="H16" s="198">
        <v>17.399999999999999</v>
      </c>
      <c r="I16" s="197">
        <v>17.3</v>
      </c>
      <c r="J16" s="194" t="s">
        <v>668</v>
      </c>
      <c r="K16" s="168"/>
      <c r="L16" s="170" t="s">
        <v>669</v>
      </c>
      <c r="M16" s="169">
        <v>38399</v>
      </c>
      <c r="N16" s="168"/>
      <c r="O16" s="185">
        <v>668669806</v>
      </c>
    </row>
    <row r="17" spans="1:15" ht="16" thickBot="1" x14ac:dyDescent="0.4">
      <c r="A17" t="str">
        <f t="shared" si="0"/>
        <v>Ice</v>
      </c>
      <c r="B17" s="171" t="s">
        <v>262</v>
      </c>
      <c r="C17" s="171">
        <v>10</v>
      </c>
      <c r="D17" s="171">
        <v>19.2</v>
      </c>
      <c r="E17" s="171">
        <v>42.9</v>
      </c>
      <c r="F17" s="171">
        <v>6.2</v>
      </c>
      <c r="G17" s="192">
        <v>1990</v>
      </c>
      <c r="H17" s="198">
        <v>35.1</v>
      </c>
      <c r="I17" s="197">
        <v>17.2</v>
      </c>
      <c r="J17" s="194" t="s">
        <v>670</v>
      </c>
      <c r="K17" s="168"/>
      <c r="L17" s="168" t="s">
        <v>671</v>
      </c>
      <c r="M17" s="169">
        <v>38399</v>
      </c>
      <c r="N17" s="168"/>
      <c r="O17" s="185">
        <v>542366600</v>
      </c>
    </row>
    <row r="18" spans="1:15" ht="16" thickBot="1" x14ac:dyDescent="0.4">
      <c r="A18" t="str">
        <f t="shared" si="0"/>
        <v>Ire</v>
      </c>
      <c r="B18" s="171" t="s">
        <v>264</v>
      </c>
      <c r="C18" s="171">
        <v>13</v>
      </c>
      <c r="D18" s="171">
        <v>19.899999999999999</v>
      </c>
      <c r="E18" s="171">
        <v>23.2</v>
      </c>
      <c r="F18" s="171">
        <v>32.4</v>
      </c>
      <c r="G18" s="192">
        <v>1990</v>
      </c>
      <c r="H18" s="198">
        <v>13.8</v>
      </c>
      <c r="I18" s="197">
        <v>11</v>
      </c>
      <c r="J18" s="194" t="s">
        <v>672</v>
      </c>
      <c r="K18" s="168"/>
      <c r="L18" s="170" t="s">
        <v>673</v>
      </c>
      <c r="M18" s="169">
        <v>38680</v>
      </c>
      <c r="N18" s="168"/>
      <c r="O18" s="185">
        <v>18523847</v>
      </c>
    </row>
    <row r="19" spans="1:15" ht="16" thickBot="1" x14ac:dyDescent="0.4">
      <c r="A19" t="str">
        <f t="shared" si="0"/>
        <v>Ita</v>
      </c>
      <c r="B19" s="171" t="s">
        <v>122</v>
      </c>
      <c r="C19" s="171">
        <v>-6.5</v>
      </c>
      <c r="D19" s="171">
        <v>0.4</v>
      </c>
      <c r="E19" s="171">
        <v>4.7</v>
      </c>
      <c r="F19" s="171">
        <v>-2</v>
      </c>
      <c r="G19" s="192">
        <v>1990</v>
      </c>
      <c r="H19" s="198">
        <v>-5.4</v>
      </c>
      <c r="I19" s="197">
        <v>-13.3</v>
      </c>
      <c r="J19" s="194" t="s">
        <v>674</v>
      </c>
      <c r="K19" s="169">
        <v>35914</v>
      </c>
      <c r="L19" s="169">
        <v>37407</v>
      </c>
      <c r="M19" s="169">
        <v>38399</v>
      </c>
      <c r="N19" s="172">
        <v>8.0000000000000002E-3</v>
      </c>
      <c r="O19" s="185">
        <v>314184272</v>
      </c>
    </row>
    <row r="20" spans="1:15" ht="16" thickBot="1" x14ac:dyDescent="0.4">
      <c r="A20" t="str">
        <f t="shared" si="0"/>
        <v>Lux</v>
      </c>
      <c r="B20" s="171" t="s">
        <v>279</v>
      </c>
      <c r="C20" s="171">
        <v>-28</v>
      </c>
      <c r="D20" s="171">
        <v>-9.1999999999999993</v>
      </c>
      <c r="E20" s="171">
        <v>-4.8</v>
      </c>
      <c r="F20" s="171">
        <v>-4.4000000000000004</v>
      </c>
      <c r="G20" s="192">
        <v>1990</v>
      </c>
      <c r="H20" s="198">
        <v>-8.9</v>
      </c>
      <c r="I20" s="197">
        <v>-13.6</v>
      </c>
      <c r="J20" s="194" t="s">
        <v>675</v>
      </c>
      <c r="K20" s="168"/>
      <c r="L20" s="170" t="s">
        <v>676</v>
      </c>
      <c r="M20" s="169">
        <v>38399</v>
      </c>
      <c r="N20" s="168"/>
      <c r="O20" s="185">
        <v>2416277898</v>
      </c>
    </row>
    <row r="21" spans="1:15" ht="16" thickBot="1" x14ac:dyDescent="0.4">
      <c r="A21" t="str">
        <f t="shared" si="0"/>
        <v>Net</v>
      </c>
      <c r="B21" s="171" t="s">
        <v>123</v>
      </c>
      <c r="C21" s="171">
        <v>-6</v>
      </c>
      <c r="D21" s="171">
        <v>-2.4</v>
      </c>
      <c r="E21" s="171">
        <v>-2.4</v>
      </c>
      <c r="F21" s="171">
        <v>13</v>
      </c>
      <c r="G21" s="192">
        <v>1990</v>
      </c>
      <c r="H21" s="197">
        <v>-6.1</v>
      </c>
      <c r="I21" s="197">
        <v>-6.2</v>
      </c>
      <c r="J21" s="194" t="s">
        <v>677</v>
      </c>
      <c r="K21" s="168"/>
      <c r="L21" s="170" t="s">
        <v>678</v>
      </c>
      <c r="M21" s="169">
        <v>38399</v>
      </c>
      <c r="N21" s="168"/>
      <c r="O21" s="185">
        <v>5928257666</v>
      </c>
    </row>
    <row r="22" spans="1:15" ht="16" thickBot="1" x14ac:dyDescent="0.4">
      <c r="A22" t="str">
        <f t="shared" si="0"/>
        <v>Nor</v>
      </c>
      <c r="B22" s="171" t="s">
        <v>300</v>
      </c>
      <c r="C22" s="171">
        <v>1</v>
      </c>
      <c r="D22" s="171">
        <v>-32.799999999999997</v>
      </c>
      <c r="E22" s="171">
        <v>9.4</v>
      </c>
      <c r="F22" s="171">
        <v>31.9</v>
      </c>
      <c r="G22" s="192">
        <v>1990</v>
      </c>
      <c r="H22" s="198">
        <v>3.1</v>
      </c>
      <c r="I22" s="197">
        <v>-37</v>
      </c>
      <c r="J22" s="194" t="s">
        <v>679</v>
      </c>
      <c r="K22" s="168"/>
      <c r="L22" s="170" t="s">
        <v>680</v>
      </c>
      <c r="M22" s="169">
        <v>38399</v>
      </c>
      <c r="N22" s="168"/>
      <c r="O22" t="s">
        <v>1024</v>
      </c>
    </row>
    <row r="23" spans="1:15" ht="16" thickBot="1" x14ac:dyDescent="0.4">
      <c r="A23" t="str">
        <f t="shared" si="0"/>
        <v>Por</v>
      </c>
      <c r="B23" s="171" t="s">
        <v>308</v>
      </c>
      <c r="C23" s="171">
        <v>27</v>
      </c>
      <c r="D23" s="171">
        <v>18.3</v>
      </c>
      <c r="E23" s="171">
        <v>32.200000000000003</v>
      </c>
      <c r="F23" s="171">
        <v>35.299999999999997</v>
      </c>
      <c r="G23" s="192">
        <v>1990</v>
      </c>
      <c r="H23" s="198">
        <v>25.6</v>
      </c>
      <c r="I23" s="197">
        <v>20.9</v>
      </c>
      <c r="J23" s="194" t="s">
        <v>681</v>
      </c>
      <c r="K23" s="169">
        <v>35985</v>
      </c>
      <c r="L23" s="169">
        <v>36494</v>
      </c>
      <c r="M23" s="169">
        <v>38399</v>
      </c>
      <c r="N23" s="168"/>
      <c r="O23" t="s">
        <v>206</v>
      </c>
    </row>
    <row r="24" spans="1:15" ht="19.5" customHeight="1" thickBot="1" x14ac:dyDescent="0.4">
      <c r="A24" t="str">
        <f t="shared" si="0"/>
        <v>Spa</v>
      </c>
      <c r="B24" s="171" t="s">
        <v>124</v>
      </c>
      <c r="C24" s="171">
        <v>15</v>
      </c>
      <c r="D24" s="171">
        <v>44</v>
      </c>
      <c r="E24" s="171">
        <v>42.5</v>
      </c>
      <c r="F24" s="171">
        <v>37.700000000000003</v>
      </c>
      <c r="G24" s="192">
        <v>1990</v>
      </c>
      <c r="H24" s="198">
        <v>29.8</v>
      </c>
      <c r="I24" s="197">
        <v>28.3</v>
      </c>
      <c r="J24" s="194" t="s">
        <v>682</v>
      </c>
      <c r="K24" s="168"/>
      <c r="L24" s="170" t="s">
        <v>683</v>
      </c>
      <c r="M24" s="169">
        <v>39278</v>
      </c>
      <c r="N24" s="168"/>
      <c r="O24" t="s">
        <v>212</v>
      </c>
    </row>
    <row r="25" spans="1:15" ht="16" thickBot="1" x14ac:dyDescent="0.4">
      <c r="A25" t="str">
        <f t="shared" si="0"/>
        <v>Swe</v>
      </c>
      <c r="B25" s="171" t="s">
        <v>145</v>
      </c>
      <c r="C25" s="171">
        <v>4</v>
      </c>
      <c r="D25" s="171">
        <v>19.8</v>
      </c>
      <c r="E25" s="171">
        <v>-11.3</v>
      </c>
      <c r="F25" s="171">
        <v>-20.9</v>
      </c>
      <c r="G25" s="192">
        <v>1990</v>
      </c>
      <c r="H25" s="198">
        <v>-17.2</v>
      </c>
      <c r="I25" s="197">
        <v>-33.700000000000003</v>
      </c>
      <c r="J25" s="194" t="s">
        <v>684</v>
      </c>
      <c r="K25" s="168"/>
      <c r="L25" s="168" t="s">
        <v>685</v>
      </c>
      <c r="M25" s="169">
        <v>38399</v>
      </c>
      <c r="N25" s="168"/>
      <c r="O25" t="s">
        <v>117</v>
      </c>
    </row>
    <row r="26" spans="1:15" ht="16" thickBot="1" x14ac:dyDescent="0.4">
      <c r="A26" t="str">
        <f t="shared" si="0"/>
        <v>Swi</v>
      </c>
      <c r="B26" s="171" t="s">
        <v>146</v>
      </c>
      <c r="C26" s="171">
        <v>-8</v>
      </c>
      <c r="D26" s="171">
        <v>6.8</v>
      </c>
      <c r="E26" s="171">
        <v>0.4</v>
      </c>
      <c r="F26" s="171">
        <v>2.5</v>
      </c>
      <c r="G26" s="192">
        <v>1990</v>
      </c>
      <c r="H26" s="198">
        <v>-2.2000000000000002</v>
      </c>
      <c r="I26" s="197">
        <v>3.3</v>
      </c>
      <c r="J26" s="194" t="s">
        <v>686</v>
      </c>
      <c r="K26" s="169">
        <v>35914</v>
      </c>
      <c r="L26" s="169">
        <v>37491</v>
      </c>
      <c r="M26" s="169">
        <v>38399</v>
      </c>
      <c r="N26" s="168"/>
      <c r="O26" t="s">
        <v>220</v>
      </c>
    </row>
    <row r="27" spans="1:15" ht="17" customHeight="1" thickBot="1" x14ac:dyDescent="0.4">
      <c r="A27" t="str">
        <f t="shared" si="0"/>
        <v>U.K</v>
      </c>
      <c r="B27" s="171" t="s">
        <v>995</v>
      </c>
      <c r="C27" s="171">
        <v>-12.5</v>
      </c>
      <c r="D27" s="171">
        <v>-19</v>
      </c>
      <c r="E27" s="171">
        <v>-18.5</v>
      </c>
      <c r="F27" s="171">
        <v>-15.2</v>
      </c>
      <c r="G27" s="192">
        <v>1990</v>
      </c>
      <c r="H27" s="198">
        <v>-26.9</v>
      </c>
      <c r="I27" s="197">
        <v>-27.7</v>
      </c>
      <c r="J27" s="194" t="s">
        <v>687</v>
      </c>
      <c r="K27" s="168"/>
      <c r="L27" s="170" t="s">
        <v>688</v>
      </c>
      <c r="M27" s="169">
        <v>40135</v>
      </c>
      <c r="N27" s="168"/>
      <c r="O27" t="s">
        <v>110</v>
      </c>
    </row>
    <row r="28" spans="1:15" ht="17.5" customHeight="1" thickBot="1" x14ac:dyDescent="0.4">
      <c r="A28" t="str">
        <f t="shared" si="0"/>
        <v>Asi</v>
      </c>
      <c r="B28" s="181" t="s">
        <v>999</v>
      </c>
      <c r="C28" s="171"/>
      <c r="D28" s="171" t="s">
        <v>627</v>
      </c>
      <c r="E28" s="171" t="s">
        <v>627</v>
      </c>
      <c r="F28" s="171">
        <v>12.7</v>
      </c>
      <c r="G28" s="192">
        <v>1990</v>
      </c>
      <c r="H28" s="198"/>
      <c r="I28" s="198"/>
      <c r="J28" s="194" t="s">
        <v>689</v>
      </c>
      <c r="K28" s="169">
        <v>36056</v>
      </c>
      <c r="L28" s="169">
        <v>37483</v>
      </c>
      <c r="M28" s="169">
        <v>38399</v>
      </c>
      <c r="N28" s="172">
        <v>6.0000000000000001E-3</v>
      </c>
      <c r="O28" t="s">
        <v>1025</v>
      </c>
    </row>
    <row r="29" spans="1:15" ht="21" customHeight="1" thickBot="1" x14ac:dyDescent="0.4">
      <c r="A29" t="str">
        <f t="shared" si="0"/>
        <v>Aus</v>
      </c>
      <c r="B29" s="171" t="s">
        <v>136</v>
      </c>
      <c r="C29" s="171">
        <v>8</v>
      </c>
      <c r="D29" s="171">
        <v>33.1</v>
      </c>
      <c r="E29" s="171">
        <v>31.4</v>
      </c>
      <c r="F29" s="171">
        <v>51.8</v>
      </c>
      <c r="G29" s="192">
        <v>1990</v>
      </c>
      <c r="H29" s="198">
        <v>30.4</v>
      </c>
      <c r="I29" s="197">
        <v>29.9</v>
      </c>
      <c r="J29" s="194" t="s">
        <v>690</v>
      </c>
      <c r="K29" s="168"/>
      <c r="L29" s="170" t="s">
        <v>691</v>
      </c>
      <c r="M29" s="169">
        <v>38532</v>
      </c>
      <c r="N29" s="168"/>
      <c r="O29" t="s">
        <v>186</v>
      </c>
    </row>
    <row r="30" spans="1:15" ht="16" thickBot="1" x14ac:dyDescent="0.4">
      <c r="A30" t="str">
        <f t="shared" si="0"/>
        <v>Jap</v>
      </c>
      <c r="B30" s="171" t="s">
        <v>140</v>
      </c>
      <c r="C30" s="171">
        <v>-6</v>
      </c>
      <c r="D30" s="171">
        <v>-0.2</v>
      </c>
      <c r="E30" s="171">
        <v>1</v>
      </c>
      <c r="F30" s="171">
        <v>2.7</v>
      </c>
      <c r="G30" s="192">
        <v>1990</v>
      </c>
      <c r="H30" s="197">
        <v>-4.5</v>
      </c>
      <c r="I30" s="197">
        <v>-5</v>
      </c>
      <c r="J30" s="194" t="s">
        <v>692</v>
      </c>
      <c r="K30" s="168"/>
      <c r="L30" s="170" t="s">
        <v>693</v>
      </c>
      <c r="M30" s="169">
        <v>38399</v>
      </c>
      <c r="N30" s="168"/>
      <c r="O30" t="s">
        <v>237</v>
      </c>
    </row>
    <row r="31" spans="1:15" ht="16" thickBot="1" x14ac:dyDescent="0.4">
      <c r="A31" t="str">
        <f t="shared" si="0"/>
        <v>New</v>
      </c>
      <c r="B31" s="171" t="s">
        <v>297</v>
      </c>
      <c r="C31" s="171">
        <v>0</v>
      </c>
      <c r="D31" s="171">
        <v>62.4</v>
      </c>
      <c r="E31" s="171">
        <v>22.7</v>
      </c>
      <c r="F31" s="171">
        <v>34.299999999999997</v>
      </c>
      <c r="G31" s="192">
        <v>1990</v>
      </c>
      <c r="H31" s="198">
        <v>19.399999999999999</v>
      </c>
      <c r="I31" s="198">
        <v>23.1</v>
      </c>
      <c r="J31" s="194" t="s">
        <v>694</v>
      </c>
      <c r="K31" s="168"/>
      <c r="L31" s="170" t="s">
        <v>695</v>
      </c>
      <c r="M31" s="169">
        <v>38399</v>
      </c>
      <c r="N31" s="168"/>
      <c r="O31" t="s">
        <v>245</v>
      </c>
    </row>
    <row r="32" spans="1:15" ht="16" customHeight="1" thickBot="1" x14ac:dyDescent="0.4">
      <c r="A32" t="str">
        <f t="shared" si="0"/>
        <v>Eco</v>
      </c>
      <c r="B32" s="227" t="s">
        <v>990</v>
      </c>
      <c r="C32" s="228"/>
      <c r="D32" s="228"/>
      <c r="E32" s="229"/>
      <c r="F32" s="176">
        <v>-36.200000000000003</v>
      </c>
      <c r="G32" s="192">
        <v>1990</v>
      </c>
      <c r="H32" s="198"/>
      <c r="I32" s="198"/>
      <c r="J32" s="194" t="s">
        <v>696</v>
      </c>
      <c r="K32" s="168"/>
      <c r="L32" s="170" t="s">
        <v>697</v>
      </c>
      <c r="M32" s="169">
        <v>38399</v>
      </c>
      <c r="N32" s="168"/>
      <c r="O32" t="s">
        <v>1026</v>
      </c>
    </row>
    <row r="33" spans="1:15" ht="15" customHeight="1" thickBot="1" x14ac:dyDescent="0.4">
      <c r="A33" s="160" t="s">
        <v>1030</v>
      </c>
      <c r="B33" s="188" t="s">
        <v>212</v>
      </c>
      <c r="C33" s="189"/>
      <c r="D33" s="180"/>
      <c r="E33" s="176"/>
      <c r="F33" s="176"/>
      <c r="G33" s="192"/>
      <c r="H33" s="198">
        <v>-36.9</v>
      </c>
      <c r="I33" s="199">
        <v>-47.7</v>
      </c>
      <c r="J33" s="233" t="s">
        <v>698</v>
      </c>
      <c r="K33" s="236">
        <v>35914</v>
      </c>
      <c r="L33" s="236">
        <v>37607</v>
      </c>
      <c r="M33" s="173">
        <v>38399</v>
      </c>
      <c r="N33" s="239">
        <v>3.3000000000000002E-2</v>
      </c>
      <c r="O33" t="s">
        <v>248</v>
      </c>
    </row>
    <row r="34" spans="1:15" ht="16" thickBot="1" x14ac:dyDescent="0.4">
      <c r="A34" t="str">
        <f t="shared" si="0"/>
        <v>Bul</v>
      </c>
      <c r="B34" s="171" t="s">
        <v>220</v>
      </c>
      <c r="C34" s="171">
        <v>-8</v>
      </c>
      <c r="D34" s="171">
        <v>-45.5</v>
      </c>
      <c r="E34" s="171">
        <v>-42.8</v>
      </c>
      <c r="F34" s="171">
        <v>-43.7</v>
      </c>
      <c r="G34" s="192">
        <v>1990</v>
      </c>
      <c r="H34" s="198">
        <v>-52.2</v>
      </c>
      <c r="I34" s="197">
        <v>-56.8</v>
      </c>
      <c r="J34" s="234"/>
      <c r="K34" s="237"/>
      <c r="L34" s="237"/>
      <c r="M34" s="174"/>
      <c r="N34" s="240"/>
      <c r="O34" t="s">
        <v>118</v>
      </c>
    </row>
    <row r="35" spans="1:15" ht="16" customHeight="1" thickBot="1" x14ac:dyDescent="0.4">
      <c r="A35" t="str">
        <f t="shared" si="0"/>
        <v>Cro</v>
      </c>
      <c r="B35" s="171" t="s">
        <v>235</v>
      </c>
      <c r="C35" s="171">
        <v>-5</v>
      </c>
      <c r="D35" s="171">
        <v>-13.7</v>
      </c>
      <c r="E35" s="171">
        <v>-0.9</v>
      </c>
      <c r="F35" s="171">
        <v>-8.4</v>
      </c>
      <c r="G35" s="192">
        <v>1990</v>
      </c>
      <c r="H35" s="198">
        <v>-8.1999999999999993</v>
      </c>
      <c r="I35" s="197">
        <v>-17.8</v>
      </c>
      <c r="J35" s="235"/>
      <c r="K35" s="238"/>
      <c r="L35" s="238"/>
      <c r="M35" s="175" t="s">
        <v>699</v>
      </c>
      <c r="N35" s="241"/>
      <c r="O35" t="s">
        <v>119</v>
      </c>
    </row>
    <row r="36" spans="1:15" ht="16.5" customHeight="1" thickBot="1" x14ac:dyDescent="0.4">
      <c r="A36" t="str">
        <f t="shared" si="0"/>
        <v>Cze</v>
      </c>
      <c r="B36" s="171" t="s">
        <v>994</v>
      </c>
      <c r="C36" s="171">
        <v>-8</v>
      </c>
      <c r="D36" s="171">
        <v>-28.7</v>
      </c>
      <c r="E36" s="171">
        <v>-27.5</v>
      </c>
      <c r="F36" s="171">
        <v>-29.2</v>
      </c>
      <c r="G36" s="193">
        <v>1988</v>
      </c>
      <c r="H36" s="198">
        <v>-32</v>
      </c>
      <c r="I36" s="197">
        <v>-34.299999999999997</v>
      </c>
      <c r="J36" s="194" t="s">
        <v>700</v>
      </c>
      <c r="K36" s="168"/>
      <c r="L36" s="170" t="s">
        <v>701</v>
      </c>
      <c r="M36" s="169">
        <v>38848</v>
      </c>
      <c r="N36" s="168"/>
      <c r="O36" t="s">
        <v>253</v>
      </c>
    </row>
    <row r="37" spans="1:15" ht="12.5" customHeight="1" thickBot="1" x14ac:dyDescent="0.4">
      <c r="A37" t="str">
        <f t="shared" si="0"/>
        <v>Est</v>
      </c>
      <c r="B37" s="171" t="s">
        <v>245</v>
      </c>
      <c r="C37" s="171">
        <v>-8</v>
      </c>
      <c r="D37" s="171">
        <v>-69.900000000000006</v>
      </c>
      <c r="E37" s="171">
        <v>-50.9</v>
      </c>
      <c r="F37" s="171">
        <v>-59.4</v>
      </c>
      <c r="G37" s="193">
        <v>1990</v>
      </c>
      <c r="H37" s="198">
        <v>-36.9</v>
      </c>
      <c r="I37" s="197">
        <v>-68.8</v>
      </c>
      <c r="J37" s="194" t="s">
        <v>702</v>
      </c>
      <c r="K37" s="168"/>
      <c r="L37" s="170" t="s">
        <v>703</v>
      </c>
      <c r="M37" s="169">
        <v>39615</v>
      </c>
      <c r="N37" s="168"/>
      <c r="O37" t="s">
        <v>187</v>
      </c>
    </row>
    <row r="38" spans="1:15" ht="16" thickBot="1" x14ac:dyDescent="0.4">
      <c r="A38" t="str">
        <f t="shared" si="0"/>
        <v>Hun</v>
      </c>
      <c r="B38" s="171" t="s">
        <v>187</v>
      </c>
      <c r="C38" s="171">
        <v>-8</v>
      </c>
      <c r="D38" s="171">
        <v>-38.1</v>
      </c>
      <c r="E38" s="171">
        <v>-36.200000000000003</v>
      </c>
      <c r="F38" s="171">
        <v>-27.8</v>
      </c>
      <c r="G38" s="192">
        <v>1990</v>
      </c>
      <c r="H38" s="198">
        <v>-41.5</v>
      </c>
      <c r="I38" s="197">
        <v>-43</v>
      </c>
      <c r="J38" s="194" t="s">
        <v>704</v>
      </c>
      <c r="K38" s="168"/>
      <c r="L38" s="170" t="s">
        <v>705</v>
      </c>
      <c r="M38" s="169">
        <v>40134</v>
      </c>
      <c r="N38" s="168"/>
      <c r="O38" t="s">
        <v>262</v>
      </c>
    </row>
    <row r="39" spans="1:15" ht="16" thickBot="1" x14ac:dyDescent="0.4">
      <c r="A39" t="str">
        <f t="shared" si="0"/>
        <v>Lat</v>
      </c>
      <c r="B39" s="171" t="s">
        <v>274</v>
      </c>
      <c r="C39" s="171">
        <v>-8</v>
      </c>
      <c r="D39" s="171">
        <v>-307.89999999999998</v>
      </c>
      <c r="E39" s="171">
        <v>-55.6</v>
      </c>
      <c r="F39" s="171">
        <v>-63.8</v>
      </c>
      <c r="G39" s="192">
        <v>1990</v>
      </c>
      <c r="H39" s="198">
        <v>-59.7</v>
      </c>
      <c r="I39" s="197">
        <v>-185.8</v>
      </c>
      <c r="J39" s="194" t="s">
        <v>706</v>
      </c>
      <c r="K39" s="169">
        <v>35963</v>
      </c>
      <c r="L39" s="169">
        <v>37494</v>
      </c>
      <c r="M39" s="169">
        <v>38399</v>
      </c>
      <c r="N39" s="168"/>
      <c r="O39" t="s">
        <v>264</v>
      </c>
    </row>
    <row r="40" spans="1:15" ht="19" customHeight="1" thickBot="1" x14ac:dyDescent="0.4">
      <c r="A40" t="str">
        <f t="shared" si="0"/>
        <v>Lit</v>
      </c>
      <c r="B40" s="171" t="s">
        <v>278</v>
      </c>
      <c r="C40" s="171">
        <v>-8</v>
      </c>
      <c r="D40" s="171">
        <v>-69.099999999999994</v>
      </c>
      <c r="E40" s="171">
        <v>-51.8</v>
      </c>
      <c r="F40" s="171">
        <v>-62.6</v>
      </c>
      <c r="G40" s="183" t="s">
        <v>991</v>
      </c>
      <c r="H40" s="198">
        <v>-58.9</v>
      </c>
      <c r="I40" s="197">
        <v>-63.3</v>
      </c>
      <c r="J40" s="194" t="s">
        <v>707</v>
      </c>
      <c r="K40" s="169">
        <v>35944</v>
      </c>
      <c r="L40" s="168" t="s">
        <v>985</v>
      </c>
      <c r="M40" s="169">
        <v>38399</v>
      </c>
      <c r="N40" s="168"/>
      <c r="O40" t="s">
        <v>122</v>
      </c>
    </row>
    <row r="41" spans="1:15" ht="19" customHeight="1" thickBot="1" x14ac:dyDescent="0.4">
      <c r="A41" t="str">
        <f t="shared" si="0"/>
        <v>Pol</v>
      </c>
      <c r="B41" s="171" t="s">
        <v>188</v>
      </c>
      <c r="C41" s="171">
        <v>-6</v>
      </c>
      <c r="D41" s="171">
        <v>-34.4</v>
      </c>
      <c r="E41" s="171">
        <v>-29.6</v>
      </c>
      <c r="F41" s="171">
        <v>-16.2</v>
      </c>
      <c r="G41" s="192">
        <v>1990</v>
      </c>
      <c r="H41" s="198">
        <v>-32.1</v>
      </c>
      <c r="I41" s="197">
        <v>-37.5</v>
      </c>
      <c r="J41" s="194" t="s">
        <v>708</v>
      </c>
      <c r="K41" s="168"/>
      <c r="L41" s="170" t="s">
        <v>709</v>
      </c>
      <c r="M41" s="169">
        <v>38399</v>
      </c>
      <c r="N41" s="168"/>
      <c r="O41" t="s">
        <v>140</v>
      </c>
    </row>
    <row r="42" spans="1:15" ht="16" thickBot="1" x14ac:dyDescent="0.4">
      <c r="A42" t="str">
        <f t="shared" si="0"/>
        <v>Rom</v>
      </c>
      <c r="B42" s="171" t="s">
        <v>189</v>
      </c>
      <c r="C42" s="171">
        <v>-8</v>
      </c>
      <c r="D42" s="171">
        <v>-53.5</v>
      </c>
      <c r="E42" s="171">
        <v>-45.9</v>
      </c>
      <c r="F42" s="171">
        <v>-53.1</v>
      </c>
      <c r="G42" s="192">
        <v>1990</v>
      </c>
      <c r="H42" s="198">
        <v>-54.7</v>
      </c>
      <c r="I42" s="197">
        <v>-60.4</v>
      </c>
      <c r="J42" s="194" t="s">
        <v>710</v>
      </c>
      <c r="K42" s="168"/>
      <c r="L42" s="170" t="s">
        <v>711</v>
      </c>
      <c r="M42" s="168" t="s">
        <v>712</v>
      </c>
      <c r="N42" s="168"/>
      <c r="O42" t="s">
        <v>1027</v>
      </c>
    </row>
    <row r="43" spans="1:15" ht="16" thickBot="1" x14ac:dyDescent="0.4">
      <c r="A43" t="str">
        <f t="shared" si="0"/>
        <v>Rus</v>
      </c>
      <c r="B43" s="176" t="s">
        <v>992</v>
      </c>
      <c r="C43" s="176">
        <v>0</v>
      </c>
      <c r="D43" s="176">
        <v>-52.8</v>
      </c>
      <c r="E43" s="176">
        <v>-32.799999999999997</v>
      </c>
      <c r="F43" s="176">
        <v>-29.7</v>
      </c>
      <c r="G43" s="192">
        <v>1988</v>
      </c>
      <c r="H43" s="198">
        <v>-36.9</v>
      </c>
      <c r="I43" s="197">
        <v>-57.2</v>
      </c>
      <c r="J43" s="194" t="s">
        <v>713</v>
      </c>
      <c r="K43" s="168"/>
      <c r="L43" s="170" t="s">
        <v>714</v>
      </c>
      <c r="M43" s="169">
        <v>39215</v>
      </c>
      <c r="N43" s="168"/>
      <c r="O43" t="s">
        <v>1028</v>
      </c>
    </row>
    <row r="44" spans="1:15" ht="16" thickBot="1" x14ac:dyDescent="0.4">
      <c r="A44" t="str">
        <f t="shared" si="0"/>
        <v>Slo</v>
      </c>
      <c r="B44" s="176" t="s">
        <v>993</v>
      </c>
      <c r="C44" s="176">
        <v>-8</v>
      </c>
      <c r="D44" s="176">
        <v>-34.4</v>
      </c>
      <c r="E44" s="176">
        <v>-33.700000000000003</v>
      </c>
      <c r="F44" s="176">
        <v>-41.5</v>
      </c>
      <c r="G44" s="192">
        <v>1989</v>
      </c>
      <c r="H44" s="198">
        <v>-41.5</v>
      </c>
      <c r="I44" s="197">
        <v>-43.9</v>
      </c>
      <c r="J44" s="195" t="s">
        <v>715</v>
      </c>
      <c r="K44" s="169">
        <v>36054</v>
      </c>
      <c r="L44" s="169">
        <v>37130</v>
      </c>
      <c r="M44" s="169">
        <v>38399</v>
      </c>
      <c r="N44" s="168"/>
      <c r="O44" s="185">
        <v>119182130</v>
      </c>
    </row>
    <row r="45" spans="1:15" ht="16" thickBot="1" x14ac:dyDescent="0.4">
      <c r="A45" t="str">
        <f t="shared" si="0"/>
        <v>Slo</v>
      </c>
      <c r="B45" s="171" t="s">
        <v>319</v>
      </c>
      <c r="C45" s="171">
        <v>-8</v>
      </c>
      <c r="D45" s="171">
        <v>5.2</v>
      </c>
      <c r="E45" s="171">
        <v>5.2</v>
      </c>
      <c r="F45" s="171">
        <v>21.2</v>
      </c>
      <c r="G45" s="192">
        <v>1990</v>
      </c>
      <c r="H45" s="198">
        <v>-3.9</v>
      </c>
      <c r="I45" s="197">
        <v>-12.5</v>
      </c>
      <c r="J45" s="194" t="s">
        <v>716</v>
      </c>
      <c r="K45" s="169">
        <v>35912</v>
      </c>
      <c r="L45" s="168" t="s">
        <v>717</v>
      </c>
      <c r="M45" s="169">
        <v>38399</v>
      </c>
      <c r="N45" s="168"/>
      <c r="O45" s="185">
        <v>1055623</v>
      </c>
    </row>
    <row r="46" spans="1:15" ht="13.5" customHeight="1" thickBot="1" x14ac:dyDescent="0.4">
      <c r="A46" t="str">
        <f t="shared" si="0"/>
        <v>Ukr</v>
      </c>
      <c r="B46" s="171" t="s">
        <v>191</v>
      </c>
      <c r="C46" s="171">
        <v>0</v>
      </c>
      <c r="D46" s="171">
        <v>-52.2</v>
      </c>
      <c r="E46" s="171">
        <v>-53.9</v>
      </c>
      <c r="F46" s="171">
        <v>-62.7</v>
      </c>
      <c r="G46" s="192">
        <v>1990</v>
      </c>
      <c r="H46" s="198">
        <v>-59.9</v>
      </c>
      <c r="I46" s="197">
        <v>-58.9</v>
      </c>
      <c r="J46" s="194" t="s">
        <v>718</v>
      </c>
      <c r="K46" s="168"/>
      <c r="L46" s="170" t="s">
        <v>719</v>
      </c>
      <c r="M46" s="169">
        <v>39285</v>
      </c>
      <c r="N46" s="168"/>
      <c r="O46" s="185">
        <v>227306177</v>
      </c>
    </row>
    <row r="47" spans="1:15" ht="16" hidden="1" customHeight="1" thickBot="1" x14ac:dyDescent="0.4">
      <c r="G47" s="192"/>
      <c r="H47" s="198"/>
      <c r="I47" s="198"/>
      <c r="J47" s="194" t="s">
        <v>720</v>
      </c>
      <c r="K47" s="169">
        <v>36230</v>
      </c>
      <c r="L47" s="169">
        <v>39232</v>
      </c>
      <c r="M47" s="169">
        <v>39322</v>
      </c>
      <c r="N47" s="168"/>
      <c r="O47" s="185">
        <v>47402996</v>
      </c>
    </row>
    <row r="48" spans="1:15" ht="16" thickBot="1" x14ac:dyDescent="0.4">
      <c r="H48" s="198"/>
      <c r="I48" s="198"/>
      <c r="J48" s="194" t="s">
        <v>721</v>
      </c>
      <c r="K48" s="169">
        <v>36234</v>
      </c>
      <c r="L48" s="169">
        <v>37376</v>
      </c>
      <c r="M48" s="169">
        <v>38399</v>
      </c>
      <c r="N48" s="168"/>
      <c r="O48" s="185">
        <v>495221</v>
      </c>
    </row>
    <row r="49" spans="2:15" ht="16" thickBot="1" x14ac:dyDescent="0.4">
      <c r="B49" s="187" t="s">
        <v>112</v>
      </c>
      <c r="C49" s="187">
        <v>-7</v>
      </c>
      <c r="G49" s="183"/>
      <c r="H49" s="199">
        <v>7.2</v>
      </c>
      <c r="I49" s="197">
        <v>5.6</v>
      </c>
      <c r="J49" s="194" t="s">
        <v>722</v>
      </c>
      <c r="K49" s="168"/>
      <c r="L49" s="170" t="s">
        <v>723</v>
      </c>
      <c r="M49" s="169">
        <v>38399</v>
      </c>
      <c r="N49" s="168"/>
      <c r="O49" s="185">
        <v>1001262141</v>
      </c>
    </row>
    <row r="50" spans="2:15" ht="31.5" thickBot="1" x14ac:dyDescent="0.4">
      <c r="G50" s="183"/>
      <c r="J50" s="168" t="s">
        <v>724</v>
      </c>
      <c r="K50" s="169">
        <v>36122</v>
      </c>
      <c r="L50" s="168" t="s">
        <v>725</v>
      </c>
      <c r="M50" s="169">
        <v>38399</v>
      </c>
      <c r="N50" s="172">
        <v>1.2E-2</v>
      </c>
      <c r="O50" s="185">
        <v>309564733</v>
      </c>
    </row>
    <row r="51" spans="2:15" ht="62.5" thickBot="1" x14ac:dyDescent="0.4">
      <c r="G51" s="184"/>
      <c r="J51" s="168" t="s">
        <v>726</v>
      </c>
      <c r="K51" s="168"/>
      <c r="L51" s="170" t="s">
        <v>727</v>
      </c>
      <c r="M51" s="169">
        <v>38559</v>
      </c>
      <c r="N51" s="168"/>
      <c r="O51" s="185">
        <v>250576797</v>
      </c>
    </row>
    <row r="52" spans="2:15" ht="47" thickBot="1" x14ac:dyDescent="0.4">
      <c r="G52" s="184"/>
      <c r="J52" s="168" t="s">
        <v>728</v>
      </c>
      <c r="K52" s="168"/>
      <c r="L52" s="170" t="s">
        <v>729</v>
      </c>
      <c r="M52" s="169">
        <v>38524</v>
      </c>
      <c r="N52" s="168"/>
      <c r="O52" s="185">
        <v>2648181038</v>
      </c>
    </row>
    <row r="53" spans="2:15" ht="16" thickBot="1" x14ac:dyDescent="0.4">
      <c r="J53" s="168" t="s">
        <v>730</v>
      </c>
      <c r="K53" s="169">
        <v>35914</v>
      </c>
      <c r="L53" s="168" t="s">
        <v>986</v>
      </c>
      <c r="M53" s="169">
        <v>38399</v>
      </c>
      <c r="N53" s="172">
        <v>4.0000000000000001E-3</v>
      </c>
      <c r="O53" s="185">
        <v>381937527</v>
      </c>
    </row>
    <row r="54" spans="2:15" ht="16" thickBot="1" x14ac:dyDescent="0.4">
      <c r="J54" s="168" t="s">
        <v>731</v>
      </c>
      <c r="K54" s="168"/>
      <c r="L54" s="170" t="s">
        <v>732</v>
      </c>
      <c r="M54" s="169">
        <v>38399</v>
      </c>
      <c r="N54" s="168"/>
      <c r="O54" s="185">
        <v>1279835099</v>
      </c>
    </row>
    <row r="55" spans="2:15" ht="16" thickBot="1" x14ac:dyDescent="0.4">
      <c r="J55" s="168" t="s">
        <v>733</v>
      </c>
      <c r="K55" s="168"/>
      <c r="L55" s="170" t="s">
        <v>734</v>
      </c>
      <c r="M55" s="169">
        <v>38467</v>
      </c>
      <c r="N55" s="168"/>
      <c r="O55" s="185">
        <v>16617095319</v>
      </c>
    </row>
    <row r="56" spans="2:15" ht="31.5" thickBot="1" x14ac:dyDescent="0.4">
      <c r="J56" s="168" t="s">
        <v>735</v>
      </c>
      <c r="K56" s="168"/>
      <c r="L56" s="170" t="s">
        <v>736</v>
      </c>
      <c r="M56" s="169">
        <v>38399</v>
      </c>
      <c r="N56" s="168"/>
      <c r="O56" s="185">
        <v>331433516</v>
      </c>
    </row>
    <row r="57" spans="2:15" ht="16" thickBot="1" x14ac:dyDescent="0.4">
      <c r="J57" s="168" t="s">
        <v>737</v>
      </c>
      <c r="K57" s="169">
        <v>36175</v>
      </c>
      <c r="L57" s="169">
        <v>36538</v>
      </c>
      <c r="M57" s="169">
        <v>38399</v>
      </c>
      <c r="N57" s="168"/>
      <c r="O57" s="185">
        <v>93628593</v>
      </c>
    </row>
    <row r="58" spans="2:15" ht="16" thickBot="1" x14ac:dyDescent="0.4">
      <c r="J58" s="168" t="s">
        <v>738</v>
      </c>
      <c r="K58" s="169">
        <v>36234</v>
      </c>
      <c r="L58" s="169">
        <v>38364</v>
      </c>
      <c r="M58" s="169">
        <v>38454</v>
      </c>
      <c r="N58" s="168"/>
      <c r="O58" s="185">
        <v>1666195929</v>
      </c>
    </row>
    <row r="59" spans="2:15" ht="16" thickBot="1" x14ac:dyDescent="0.4">
      <c r="J59" s="168" t="s">
        <v>739</v>
      </c>
      <c r="K59" s="169">
        <v>35954</v>
      </c>
      <c r="L59" s="169">
        <v>36129</v>
      </c>
      <c r="M59" s="169">
        <v>38399</v>
      </c>
      <c r="N59" s="168"/>
      <c r="O59" s="185">
        <v>375188561</v>
      </c>
    </row>
    <row r="60" spans="2:15" ht="31.5" thickBot="1" x14ac:dyDescent="0.4">
      <c r="J60" s="168" t="s">
        <v>740</v>
      </c>
      <c r="K60" s="168"/>
      <c r="L60" s="170" t="s">
        <v>741</v>
      </c>
      <c r="M60" s="169">
        <v>38399</v>
      </c>
      <c r="N60" s="168"/>
      <c r="O60" s="185">
        <v>242838402</v>
      </c>
    </row>
    <row r="61" spans="2:15" ht="16" thickBot="1" x14ac:dyDescent="0.4">
      <c r="J61" s="168" t="s">
        <v>742</v>
      </c>
      <c r="K61" s="168"/>
      <c r="L61" s="170" t="s">
        <v>743</v>
      </c>
      <c r="M61" s="169">
        <v>38651</v>
      </c>
      <c r="N61" s="168"/>
      <c r="O61" s="185">
        <v>4604184663</v>
      </c>
    </row>
    <row r="62" spans="2:15" ht="16" thickBot="1" x14ac:dyDescent="0.4">
      <c r="J62" s="168" t="s">
        <v>744</v>
      </c>
      <c r="K62" s="169">
        <v>36132</v>
      </c>
      <c r="L62" s="169">
        <v>37543</v>
      </c>
      <c r="M62" s="169">
        <v>38399</v>
      </c>
      <c r="N62" s="172">
        <v>3.0000000000000001E-3</v>
      </c>
      <c r="O62" s="185">
        <v>3412080630</v>
      </c>
    </row>
    <row r="63" spans="2:15" ht="16" thickBot="1" x14ac:dyDescent="0.4">
      <c r="J63" s="168" t="s">
        <v>745</v>
      </c>
      <c r="K63" s="168"/>
      <c r="L63" s="170" t="s">
        <v>746</v>
      </c>
      <c r="M63" s="169">
        <v>38546</v>
      </c>
      <c r="N63" s="168"/>
    </row>
    <row r="64" spans="2:15" ht="31.5" thickBot="1" x14ac:dyDescent="0.4">
      <c r="J64" s="177" t="s">
        <v>747</v>
      </c>
      <c r="K64" s="169">
        <v>35914</v>
      </c>
      <c r="L64" s="168" t="s">
        <v>748</v>
      </c>
      <c r="M64" s="169">
        <v>38399</v>
      </c>
      <c r="N64" s="168"/>
    </row>
    <row r="65" spans="10:14" ht="31.5" thickBot="1" x14ac:dyDescent="0.4">
      <c r="J65" s="168" t="s">
        <v>749</v>
      </c>
      <c r="K65" s="168" t="s">
        <v>750</v>
      </c>
      <c r="L65" s="169">
        <v>36055</v>
      </c>
      <c r="M65" s="169">
        <v>38399</v>
      </c>
      <c r="N65" s="168"/>
    </row>
    <row r="66" spans="10:14" ht="16" thickBot="1" x14ac:dyDescent="0.4">
      <c r="J66" s="168" t="s">
        <v>751</v>
      </c>
      <c r="K66" s="169">
        <v>35914</v>
      </c>
      <c r="L66" s="169">
        <v>37407</v>
      </c>
      <c r="M66" s="169">
        <v>38399</v>
      </c>
      <c r="N66" s="172">
        <v>4.0000000000000001E-3</v>
      </c>
    </row>
    <row r="67" spans="10:14" ht="16" thickBot="1" x14ac:dyDescent="0.4">
      <c r="J67" s="177" t="s">
        <v>752</v>
      </c>
      <c r="K67" s="169">
        <v>35914</v>
      </c>
      <c r="L67" s="168" t="s">
        <v>748</v>
      </c>
      <c r="M67" s="169">
        <v>38399</v>
      </c>
      <c r="N67" s="172">
        <v>2.7E-2</v>
      </c>
    </row>
    <row r="68" spans="10:14" ht="16" thickBot="1" x14ac:dyDescent="0.4">
      <c r="J68" s="168" t="s">
        <v>753</v>
      </c>
      <c r="K68" s="168"/>
      <c r="L68" s="170" t="s">
        <v>754</v>
      </c>
      <c r="M68" s="169">
        <v>39153</v>
      </c>
      <c r="N68" s="168"/>
    </row>
    <row r="69" spans="10:14" ht="16" thickBot="1" x14ac:dyDescent="0.4">
      <c r="J69" s="168" t="s">
        <v>755</v>
      </c>
      <c r="K69" s="168"/>
      <c r="L69" s="168" t="s">
        <v>756</v>
      </c>
      <c r="M69" s="169">
        <v>38399</v>
      </c>
      <c r="N69" s="168"/>
    </row>
    <row r="70" spans="10:14" ht="16" thickBot="1" x14ac:dyDescent="0.4">
      <c r="J70" s="168" t="s">
        <v>757</v>
      </c>
      <c r="K70" s="168"/>
      <c r="L70" s="170" t="s">
        <v>758</v>
      </c>
      <c r="M70" s="169">
        <v>38399</v>
      </c>
      <c r="N70" s="168"/>
    </row>
    <row r="71" spans="10:14" ht="16" thickBot="1" x14ac:dyDescent="0.4">
      <c r="J71" s="168" t="s">
        <v>759</v>
      </c>
      <c r="K71" s="169">
        <v>35914</v>
      </c>
      <c r="L71" s="169">
        <v>37407</v>
      </c>
      <c r="M71" s="169">
        <v>38399</v>
      </c>
      <c r="N71" s="172">
        <v>7.3999999999999996E-2</v>
      </c>
    </row>
    <row r="72" spans="10:14" ht="16" thickBot="1" x14ac:dyDescent="0.4">
      <c r="J72" s="168" t="s">
        <v>760</v>
      </c>
      <c r="K72" s="168"/>
      <c r="L72" s="170" t="s">
        <v>761</v>
      </c>
      <c r="M72" s="169">
        <v>38399</v>
      </c>
      <c r="N72" s="168"/>
    </row>
    <row r="73" spans="10:14" ht="16" thickBot="1" x14ac:dyDescent="0.4">
      <c r="J73" s="168" t="s">
        <v>762</v>
      </c>
      <c r="K73" s="169">
        <v>35914</v>
      </c>
      <c r="L73" s="169">
        <v>37407</v>
      </c>
      <c r="M73" s="169">
        <v>38399</v>
      </c>
      <c r="N73" s="172">
        <v>6.0000000000000001E-3</v>
      </c>
    </row>
    <row r="74" spans="10:14" ht="16" thickBot="1" x14ac:dyDescent="0.4">
      <c r="J74" s="168" t="s">
        <v>763</v>
      </c>
      <c r="K74" s="168"/>
      <c r="L74" s="168" t="s">
        <v>764</v>
      </c>
      <c r="M74" s="169">
        <v>38399</v>
      </c>
      <c r="N74" s="168"/>
    </row>
    <row r="75" spans="10:14" ht="16" thickBot="1" x14ac:dyDescent="0.4">
      <c r="J75" s="168" t="s">
        <v>765</v>
      </c>
      <c r="K75" s="169">
        <v>35986</v>
      </c>
      <c r="L75" s="168" t="s">
        <v>766</v>
      </c>
      <c r="M75" s="169">
        <v>38399</v>
      </c>
      <c r="N75" s="168"/>
    </row>
    <row r="76" spans="10:14" ht="16" thickBot="1" x14ac:dyDescent="0.4">
      <c r="J76" s="168" t="s">
        <v>767</v>
      </c>
      <c r="K76" s="168"/>
      <c r="L76" s="168" t="s">
        <v>768</v>
      </c>
      <c r="M76" s="169">
        <v>38399</v>
      </c>
      <c r="N76" s="168"/>
    </row>
    <row r="77" spans="10:14" ht="31.5" thickBot="1" x14ac:dyDescent="0.4">
      <c r="J77" s="168" t="s">
        <v>769</v>
      </c>
      <c r="K77" s="168"/>
      <c r="L77" s="170" t="s">
        <v>770</v>
      </c>
      <c r="M77" s="169">
        <v>38399</v>
      </c>
      <c r="N77" s="168"/>
    </row>
    <row r="78" spans="10:14" ht="16" thickBot="1" x14ac:dyDescent="0.4">
      <c r="J78" s="168" t="s">
        <v>771</v>
      </c>
      <c r="K78" s="168"/>
      <c r="L78" s="168" t="s">
        <v>772</v>
      </c>
      <c r="M78" s="169">
        <v>38399</v>
      </c>
      <c r="N78" s="168"/>
    </row>
    <row r="79" spans="10:14" ht="16" thickBot="1" x14ac:dyDescent="0.4">
      <c r="J79" s="168" t="s">
        <v>773</v>
      </c>
      <c r="K79" s="168"/>
      <c r="L79" s="168" t="s">
        <v>774</v>
      </c>
      <c r="M79" s="168" t="s">
        <v>775</v>
      </c>
      <c r="N79" s="168"/>
    </row>
    <row r="80" spans="10:14" ht="16" thickBot="1" x14ac:dyDescent="0.4">
      <c r="J80" s="168" t="s">
        <v>776</v>
      </c>
      <c r="K80" s="169">
        <v>36216</v>
      </c>
      <c r="L80" s="169">
        <v>36726</v>
      </c>
      <c r="M80" s="169">
        <v>38399</v>
      </c>
      <c r="N80" s="168"/>
    </row>
    <row r="81" spans="10:14" ht="16" thickBot="1" x14ac:dyDescent="0.4">
      <c r="J81" s="168" t="s">
        <v>777</v>
      </c>
      <c r="K81" s="168"/>
      <c r="L81" s="170" t="s">
        <v>778</v>
      </c>
      <c r="M81" s="169">
        <v>38399</v>
      </c>
      <c r="N81" s="172">
        <v>5.0000000000000001E-3</v>
      </c>
    </row>
    <row r="82" spans="10:14" ht="16" thickBot="1" x14ac:dyDescent="0.4">
      <c r="J82" s="168" t="s">
        <v>779</v>
      </c>
      <c r="K82" s="168"/>
      <c r="L82" s="170" t="s">
        <v>780</v>
      </c>
      <c r="M82" s="169">
        <v>38399</v>
      </c>
      <c r="N82" s="172">
        <v>0</v>
      </c>
    </row>
    <row r="83" spans="10:14" ht="16" thickBot="1" x14ac:dyDescent="0.4">
      <c r="J83" s="168" t="s">
        <v>781</v>
      </c>
      <c r="K83" s="168"/>
      <c r="L83" s="170" t="s">
        <v>680</v>
      </c>
      <c r="M83" s="169">
        <v>38399</v>
      </c>
      <c r="N83" s="168"/>
    </row>
    <row r="84" spans="10:14" ht="16" thickBot="1" x14ac:dyDescent="0.4">
      <c r="J84" s="168" t="s">
        <v>782</v>
      </c>
      <c r="K84" s="169">
        <v>35989</v>
      </c>
      <c r="L84" s="168" t="s">
        <v>783</v>
      </c>
      <c r="M84" s="168" t="s">
        <v>784</v>
      </c>
      <c r="N84" s="168"/>
    </row>
    <row r="85" spans="10:14" ht="31.5" thickBot="1" x14ac:dyDescent="0.4">
      <c r="J85" s="168" t="s">
        <v>785</v>
      </c>
      <c r="K85" s="168"/>
      <c r="L85" s="170" t="s">
        <v>786</v>
      </c>
      <c r="M85" s="169">
        <v>38706</v>
      </c>
      <c r="N85" s="168"/>
    </row>
    <row r="86" spans="10:14" ht="16" thickBot="1" x14ac:dyDescent="0.4">
      <c r="J86" s="168" t="s">
        <v>787</v>
      </c>
      <c r="K86" s="168"/>
      <c r="L86" s="170" t="s">
        <v>788</v>
      </c>
      <c r="M86" s="169">
        <v>40112</v>
      </c>
      <c r="N86" s="168"/>
    </row>
    <row r="87" spans="10:14" ht="16" thickBot="1" x14ac:dyDescent="0.4">
      <c r="J87" s="177" t="s">
        <v>789</v>
      </c>
      <c r="K87" s="169">
        <v>35914</v>
      </c>
      <c r="L87" s="169">
        <v>37407</v>
      </c>
      <c r="M87" s="169">
        <v>38399</v>
      </c>
      <c r="N87" s="172">
        <v>2E-3</v>
      </c>
    </row>
    <row r="88" spans="10:14" ht="16" thickBot="1" x14ac:dyDescent="0.4">
      <c r="J88" s="168" t="s">
        <v>790</v>
      </c>
      <c r="K88" s="169">
        <v>36145</v>
      </c>
      <c r="L88" s="169">
        <v>38061</v>
      </c>
      <c r="M88" s="169">
        <v>38399</v>
      </c>
      <c r="N88" s="168"/>
    </row>
    <row r="89" spans="10:14" ht="16" thickBot="1" x14ac:dyDescent="0.4">
      <c r="J89" s="168" t="s">
        <v>791</v>
      </c>
      <c r="K89" s="169">
        <v>35914</v>
      </c>
      <c r="L89" s="169">
        <v>37407</v>
      </c>
      <c r="M89" s="169">
        <v>38399</v>
      </c>
      <c r="N89" s="172">
        <v>3.1E-2</v>
      </c>
    </row>
    <row r="90" spans="10:14" ht="16" thickBot="1" x14ac:dyDescent="0.4">
      <c r="J90" s="168" t="s">
        <v>792</v>
      </c>
      <c r="K90" s="168"/>
      <c r="L90" s="170" t="s">
        <v>793</v>
      </c>
      <c r="M90" s="169">
        <v>38399</v>
      </c>
      <c r="N90" s="168"/>
    </row>
    <row r="91" spans="10:14" ht="16" thickBot="1" x14ac:dyDescent="0.4">
      <c r="J91" s="168" t="s">
        <v>794</v>
      </c>
      <c r="K91" s="169">
        <v>35913</v>
      </c>
      <c r="L91" s="168" t="s">
        <v>795</v>
      </c>
      <c r="M91" s="169">
        <v>38399</v>
      </c>
      <c r="N91" s="172">
        <v>8.5000000000000006E-2</v>
      </c>
    </row>
    <row r="92" spans="10:14" ht="16" thickBot="1" x14ac:dyDescent="0.4">
      <c r="J92" s="168" t="s">
        <v>796</v>
      </c>
      <c r="K92" s="168"/>
      <c r="L92" s="170" t="s">
        <v>797</v>
      </c>
      <c r="M92" s="169">
        <v>38399</v>
      </c>
      <c r="N92" s="168"/>
    </row>
    <row r="93" spans="10:14" ht="31.5" thickBot="1" x14ac:dyDescent="0.4">
      <c r="J93" s="168" t="s">
        <v>798</v>
      </c>
      <c r="K93" s="169">
        <v>36231</v>
      </c>
      <c r="L93" s="169">
        <v>39983</v>
      </c>
      <c r="M93" s="169">
        <v>40073</v>
      </c>
      <c r="N93" s="168"/>
    </row>
    <row r="94" spans="10:14" ht="16" thickBot="1" x14ac:dyDescent="0.4">
      <c r="J94" s="168" t="s">
        <v>799</v>
      </c>
      <c r="K94" s="168"/>
      <c r="L94" s="170" t="s">
        <v>800</v>
      </c>
      <c r="M94" s="169">
        <v>38498</v>
      </c>
      <c r="N94" s="168"/>
    </row>
    <row r="95" spans="10:14" ht="16" thickBot="1" x14ac:dyDescent="0.4">
      <c r="J95" s="177" t="s">
        <v>801</v>
      </c>
      <c r="K95" s="168"/>
      <c r="L95" s="168" t="s">
        <v>768</v>
      </c>
      <c r="M95" s="169">
        <v>38399</v>
      </c>
      <c r="N95" s="168"/>
    </row>
    <row r="96" spans="10:14" ht="16" thickBot="1" x14ac:dyDescent="0.4">
      <c r="J96" s="168" t="s">
        <v>802</v>
      </c>
      <c r="K96" s="168"/>
      <c r="L96" s="170" t="s">
        <v>803</v>
      </c>
      <c r="M96" s="168" t="s">
        <v>804</v>
      </c>
      <c r="N96" s="168"/>
    </row>
    <row r="97" spans="10:14" ht="16" thickBot="1" x14ac:dyDescent="0.4">
      <c r="J97" s="168" t="s">
        <v>805</v>
      </c>
      <c r="K97" s="168"/>
      <c r="L97" s="170" t="s">
        <v>806</v>
      </c>
      <c r="M97" s="169">
        <v>38399</v>
      </c>
      <c r="N97" s="168"/>
    </row>
    <row r="98" spans="10:14" ht="47" thickBot="1" x14ac:dyDescent="0.4">
      <c r="J98" s="168" t="s">
        <v>807</v>
      </c>
      <c r="K98" s="168"/>
      <c r="L98" s="168" t="s">
        <v>808</v>
      </c>
      <c r="M98" s="169">
        <v>38399</v>
      </c>
      <c r="N98" s="168"/>
    </row>
    <row r="99" spans="10:14" ht="16" thickBot="1" x14ac:dyDescent="0.4">
      <c r="J99" s="168" t="s">
        <v>809</v>
      </c>
      <c r="K99" s="169">
        <v>36143</v>
      </c>
      <c r="L99" s="168" t="s">
        <v>810</v>
      </c>
      <c r="M99" s="169">
        <v>38399</v>
      </c>
      <c r="N99" s="172">
        <v>2E-3</v>
      </c>
    </row>
    <row r="100" spans="10:14" ht="16" thickBot="1" x14ac:dyDescent="0.4">
      <c r="J100" s="168" t="s">
        <v>811</v>
      </c>
      <c r="K100" s="168"/>
      <c r="L100" s="170" t="s">
        <v>812</v>
      </c>
      <c r="M100" s="169">
        <v>39124</v>
      </c>
      <c r="N100" s="168"/>
    </row>
    <row r="101" spans="10:14" ht="16" thickBot="1" x14ac:dyDescent="0.4">
      <c r="J101" s="168" t="s">
        <v>813</v>
      </c>
      <c r="K101" s="168"/>
      <c r="L101" s="168" t="s">
        <v>814</v>
      </c>
      <c r="M101" s="169">
        <v>38399</v>
      </c>
      <c r="N101" s="168"/>
    </row>
    <row r="102" spans="10:14" ht="16" thickBot="1" x14ac:dyDescent="0.4">
      <c r="J102" s="168" t="s">
        <v>815</v>
      </c>
      <c r="K102" s="168"/>
      <c r="L102" s="168" t="s">
        <v>816</v>
      </c>
      <c r="M102" s="169">
        <v>38399</v>
      </c>
      <c r="N102" s="168"/>
    </row>
    <row r="103" spans="10:14" ht="31.5" thickBot="1" x14ac:dyDescent="0.4">
      <c r="J103" s="168" t="s">
        <v>817</v>
      </c>
      <c r="K103" s="168"/>
      <c r="L103" s="170" t="s">
        <v>818</v>
      </c>
      <c r="M103" s="169">
        <v>39043</v>
      </c>
      <c r="N103" s="168"/>
    </row>
    <row r="104" spans="10:14" ht="31.5" thickBot="1" x14ac:dyDescent="0.4">
      <c r="J104" s="168" t="s">
        <v>819</v>
      </c>
      <c r="K104" s="169">
        <v>35975</v>
      </c>
      <c r="L104" s="168" t="s">
        <v>783</v>
      </c>
      <c r="M104" s="168" t="s">
        <v>784</v>
      </c>
      <c r="N104" s="172">
        <v>0</v>
      </c>
    </row>
    <row r="105" spans="10:14" ht="16" thickBot="1" x14ac:dyDescent="0.4">
      <c r="J105" s="168" t="s">
        <v>820</v>
      </c>
      <c r="K105" s="169">
        <v>36059</v>
      </c>
      <c r="L105" s="168" t="s">
        <v>821</v>
      </c>
      <c r="M105" s="169">
        <v>38399</v>
      </c>
      <c r="N105" s="168"/>
    </row>
    <row r="106" spans="10:14" ht="31.5" thickBot="1" x14ac:dyDescent="0.4">
      <c r="J106" s="168" t="s">
        <v>822</v>
      </c>
      <c r="K106" s="169">
        <v>35914</v>
      </c>
      <c r="L106" s="169">
        <v>37407</v>
      </c>
      <c r="M106" s="169">
        <v>38399</v>
      </c>
      <c r="N106" s="172">
        <v>1E-3</v>
      </c>
    </row>
    <row r="107" spans="10:14" ht="16" thickBot="1" x14ac:dyDescent="0.4">
      <c r="J107" s="168" t="s">
        <v>823</v>
      </c>
      <c r="K107" s="168"/>
      <c r="L107" s="170" t="s">
        <v>824</v>
      </c>
      <c r="M107" s="169">
        <v>38399</v>
      </c>
      <c r="N107" s="168"/>
    </row>
    <row r="108" spans="10:14" ht="16" thickBot="1" x14ac:dyDescent="0.4">
      <c r="J108" s="168" t="s">
        <v>825</v>
      </c>
      <c r="K108" s="168"/>
      <c r="L108" s="170" t="s">
        <v>826</v>
      </c>
      <c r="M108" s="169">
        <v>38399</v>
      </c>
      <c r="N108" s="168"/>
    </row>
    <row r="109" spans="10:14" ht="16" thickBot="1" x14ac:dyDescent="0.4">
      <c r="J109" s="168" t="s">
        <v>827</v>
      </c>
      <c r="K109" s="169">
        <v>36231</v>
      </c>
      <c r="L109" s="168" t="s">
        <v>828</v>
      </c>
      <c r="M109" s="169">
        <v>38399</v>
      </c>
      <c r="N109" s="168"/>
    </row>
    <row r="110" spans="10:14" ht="16" thickBot="1" x14ac:dyDescent="0.4">
      <c r="J110" s="168" t="s">
        <v>829</v>
      </c>
      <c r="K110" s="169">
        <v>35870</v>
      </c>
      <c r="L110" s="169">
        <v>36159</v>
      </c>
      <c r="M110" s="169">
        <v>38399</v>
      </c>
      <c r="N110" s="168"/>
    </row>
    <row r="111" spans="10:14" ht="16" thickBot="1" x14ac:dyDescent="0.4">
      <c r="J111" s="168" t="s">
        <v>830</v>
      </c>
      <c r="K111" s="169">
        <v>36187</v>
      </c>
      <c r="L111" s="169">
        <v>37343</v>
      </c>
      <c r="M111" s="169">
        <v>38399</v>
      </c>
      <c r="N111" s="168"/>
    </row>
    <row r="112" spans="10:14" ht="16" thickBot="1" x14ac:dyDescent="0.4">
      <c r="J112" s="168" t="s">
        <v>831</v>
      </c>
      <c r="K112" s="169">
        <v>35902</v>
      </c>
      <c r="L112" s="169">
        <v>37206</v>
      </c>
      <c r="M112" s="169">
        <v>38399</v>
      </c>
      <c r="N112" s="168"/>
    </row>
    <row r="113" spans="10:14" ht="31.5" thickBot="1" x14ac:dyDescent="0.4">
      <c r="J113" s="168" t="s">
        <v>832</v>
      </c>
      <c r="K113" s="169">
        <v>35871</v>
      </c>
      <c r="L113" s="169">
        <v>37844</v>
      </c>
      <c r="M113" s="169">
        <v>38399</v>
      </c>
      <c r="N113" s="168"/>
    </row>
    <row r="114" spans="10:14" ht="16" thickBot="1" x14ac:dyDescent="0.4">
      <c r="J114" s="168" t="s">
        <v>833</v>
      </c>
      <c r="K114" s="168"/>
      <c r="L114" s="170" t="s">
        <v>834</v>
      </c>
      <c r="M114" s="169">
        <v>38645</v>
      </c>
      <c r="N114" s="168"/>
    </row>
    <row r="115" spans="10:14" ht="16" thickBot="1" x14ac:dyDescent="0.4">
      <c r="J115" s="168" t="s">
        <v>835</v>
      </c>
      <c r="K115" s="168"/>
      <c r="L115" s="168" t="s">
        <v>836</v>
      </c>
      <c r="M115" s="169">
        <v>38399</v>
      </c>
      <c r="N115" s="168"/>
    </row>
    <row r="116" spans="10:14" ht="16" thickBot="1" x14ac:dyDescent="0.4">
      <c r="J116" s="168" t="s">
        <v>837</v>
      </c>
      <c r="K116" s="168" t="s">
        <v>838</v>
      </c>
      <c r="L116" s="168" t="s">
        <v>839</v>
      </c>
      <c r="M116" s="169">
        <v>38399</v>
      </c>
      <c r="N116" s="168"/>
    </row>
    <row r="117" spans="10:14" ht="47" thickBot="1" x14ac:dyDescent="0.4">
      <c r="J117" s="168" t="s">
        <v>840</v>
      </c>
      <c r="K117" s="169">
        <v>35871</v>
      </c>
      <c r="L117" s="169">
        <v>36332</v>
      </c>
      <c r="M117" s="169">
        <v>38399</v>
      </c>
      <c r="N117" s="168"/>
    </row>
    <row r="118" spans="10:14" ht="16" thickBot="1" x14ac:dyDescent="0.4">
      <c r="J118" s="168" t="s">
        <v>841</v>
      </c>
      <c r="K118" s="169">
        <v>35914</v>
      </c>
      <c r="L118" s="169">
        <v>38775</v>
      </c>
      <c r="M118" s="169">
        <v>38865</v>
      </c>
      <c r="N118" s="172">
        <v>0</v>
      </c>
    </row>
    <row r="119" spans="10:14" ht="16" thickBot="1" x14ac:dyDescent="0.4">
      <c r="J119" s="168" t="s">
        <v>842</v>
      </c>
      <c r="K119" s="168"/>
      <c r="L119" s="170" t="s">
        <v>843</v>
      </c>
      <c r="M119" s="169">
        <v>38399</v>
      </c>
      <c r="N119" s="168"/>
    </row>
    <row r="120" spans="10:14" ht="16" thickBot="1" x14ac:dyDescent="0.4">
      <c r="J120" s="168" t="s">
        <v>844</v>
      </c>
      <c r="K120" s="168"/>
      <c r="L120" s="168" t="s">
        <v>845</v>
      </c>
      <c r="M120" s="168" t="s">
        <v>846</v>
      </c>
      <c r="N120" s="168"/>
    </row>
    <row r="121" spans="10:14" ht="16" thickBot="1" x14ac:dyDescent="0.4">
      <c r="J121" s="168" t="s">
        <v>847</v>
      </c>
      <c r="K121" s="168"/>
      <c r="L121" s="170" t="s">
        <v>848</v>
      </c>
      <c r="M121" s="169">
        <v>38399</v>
      </c>
      <c r="N121" s="168"/>
    </row>
    <row r="122" spans="10:14" ht="16" thickBot="1" x14ac:dyDescent="0.4">
      <c r="J122" s="168" t="s">
        <v>849</v>
      </c>
      <c r="K122" s="168"/>
      <c r="L122" s="170" t="s">
        <v>850</v>
      </c>
      <c r="M122" s="169">
        <v>38460</v>
      </c>
      <c r="N122" s="168"/>
    </row>
    <row r="123" spans="10:14" ht="16" thickBot="1" x14ac:dyDescent="0.4">
      <c r="J123" s="168" t="s">
        <v>851</v>
      </c>
      <c r="K123" s="168"/>
      <c r="L123" s="170" t="s">
        <v>852</v>
      </c>
      <c r="M123" s="169">
        <v>38399</v>
      </c>
      <c r="N123" s="168"/>
    </row>
    <row r="124" spans="10:14" ht="16" thickBot="1" x14ac:dyDescent="0.4">
      <c r="J124" s="168" t="s">
        <v>853</v>
      </c>
      <c r="K124" s="168"/>
      <c r="L124" s="168" t="s">
        <v>854</v>
      </c>
      <c r="M124" s="169">
        <v>38399</v>
      </c>
      <c r="N124" s="168"/>
    </row>
    <row r="125" spans="10:14" ht="16" thickBot="1" x14ac:dyDescent="0.4">
      <c r="J125" s="177" t="s">
        <v>855</v>
      </c>
      <c r="K125" s="168"/>
      <c r="L125" s="170" t="s">
        <v>856</v>
      </c>
      <c r="M125" s="169">
        <v>38399</v>
      </c>
      <c r="N125" s="168"/>
    </row>
    <row r="126" spans="10:14" ht="16" thickBot="1" x14ac:dyDescent="0.4">
      <c r="J126" s="168" t="s">
        <v>857</v>
      </c>
      <c r="K126" s="168"/>
      <c r="L126" s="170" t="s">
        <v>858</v>
      </c>
      <c r="M126" s="169">
        <v>38701</v>
      </c>
      <c r="N126" s="168"/>
    </row>
    <row r="127" spans="10:14" ht="31.5" thickBot="1" x14ac:dyDescent="0.4">
      <c r="J127" s="168" t="s">
        <v>859</v>
      </c>
      <c r="K127" s="169">
        <v>35914</v>
      </c>
      <c r="L127" s="168" t="s">
        <v>987</v>
      </c>
      <c r="M127" s="169">
        <v>38399</v>
      </c>
      <c r="N127" s="172">
        <v>1.2E-2</v>
      </c>
    </row>
    <row r="128" spans="10:14" ht="31.5" thickBot="1" x14ac:dyDescent="0.4">
      <c r="J128" s="168" t="s">
        <v>860</v>
      </c>
      <c r="K128" s="169">
        <v>35937</v>
      </c>
      <c r="L128" s="168" t="s">
        <v>988</v>
      </c>
      <c r="M128" s="169">
        <v>38399</v>
      </c>
      <c r="N128" s="178">
        <v>2E-3</v>
      </c>
    </row>
    <row r="129" spans="10:14" ht="16" thickBot="1" x14ac:dyDescent="0.4">
      <c r="J129" s="168" t="s">
        <v>861</v>
      </c>
      <c r="K129" s="168" t="s">
        <v>862</v>
      </c>
      <c r="L129" s="169">
        <v>36482</v>
      </c>
      <c r="M129" s="169">
        <v>38399</v>
      </c>
      <c r="N129" s="168"/>
    </row>
    <row r="130" spans="10:14" ht="16" thickBot="1" x14ac:dyDescent="0.4">
      <c r="J130" s="168" t="s">
        <v>863</v>
      </c>
      <c r="K130" s="169">
        <v>36091</v>
      </c>
      <c r="L130" s="169">
        <v>38260</v>
      </c>
      <c r="M130" s="169">
        <v>38399</v>
      </c>
      <c r="N130" s="168"/>
    </row>
    <row r="131" spans="10:14" ht="16" thickBot="1" x14ac:dyDescent="0.4">
      <c r="J131" s="168" t="s">
        <v>864</v>
      </c>
      <c r="K131" s="168"/>
      <c r="L131" s="170" t="s">
        <v>865</v>
      </c>
      <c r="M131" s="169">
        <v>38421</v>
      </c>
      <c r="N131" s="168"/>
    </row>
    <row r="132" spans="10:14" ht="16" thickBot="1" x14ac:dyDescent="0.4">
      <c r="J132" s="177" t="s">
        <v>866</v>
      </c>
      <c r="K132" s="168" t="s">
        <v>867</v>
      </c>
      <c r="L132" s="168" t="s">
        <v>868</v>
      </c>
      <c r="M132" s="169">
        <v>38399</v>
      </c>
      <c r="N132" s="168"/>
    </row>
    <row r="133" spans="10:14" ht="16" thickBot="1" x14ac:dyDescent="0.4">
      <c r="J133" s="168" t="s">
        <v>869</v>
      </c>
      <c r="K133" s="169">
        <v>35914</v>
      </c>
      <c r="L133" s="169">
        <v>37406</v>
      </c>
      <c r="M133" s="169">
        <v>38399</v>
      </c>
      <c r="N133" s="172">
        <v>3.0000000000000001E-3</v>
      </c>
    </row>
    <row r="134" spans="10:14" ht="16" thickBot="1" x14ac:dyDescent="0.4">
      <c r="J134" s="168" t="s">
        <v>870</v>
      </c>
      <c r="K134" s="168"/>
      <c r="L134" s="170" t="s">
        <v>871</v>
      </c>
      <c r="M134" s="169">
        <v>38461</v>
      </c>
      <c r="N134" s="168"/>
    </row>
    <row r="135" spans="10:14" ht="16" thickBot="1" x14ac:dyDescent="0.4">
      <c r="J135" s="168" t="s">
        <v>872</v>
      </c>
      <c r="K135" s="168"/>
      <c r="L135" s="170" t="s">
        <v>873</v>
      </c>
      <c r="M135" s="169">
        <v>38453</v>
      </c>
      <c r="N135" s="168"/>
    </row>
    <row r="136" spans="10:14" ht="16" thickBot="1" x14ac:dyDescent="0.4">
      <c r="J136" s="168" t="s">
        <v>874</v>
      </c>
      <c r="K136" s="168"/>
      <c r="L136" s="170" t="s">
        <v>875</v>
      </c>
      <c r="M136" s="169">
        <v>38399</v>
      </c>
      <c r="N136" s="168"/>
    </row>
    <row r="137" spans="10:14" ht="16" thickBot="1" x14ac:dyDescent="0.4">
      <c r="J137" s="168" t="s">
        <v>876</v>
      </c>
      <c r="K137" s="168" t="s">
        <v>877</v>
      </c>
      <c r="L137" s="168" t="s">
        <v>878</v>
      </c>
      <c r="M137" s="169">
        <v>38399</v>
      </c>
      <c r="N137" s="168"/>
    </row>
    <row r="138" spans="10:14" ht="31.5" thickBot="1" x14ac:dyDescent="0.4">
      <c r="J138" s="168" t="s">
        <v>879</v>
      </c>
      <c r="K138" s="168" t="s">
        <v>880</v>
      </c>
      <c r="L138" s="169">
        <v>37343</v>
      </c>
      <c r="M138" s="169">
        <v>38399</v>
      </c>
      <c r="N138" s="168"/>
    </row>
    <row r="139" spans="10:14" ht="16" thickBot="1" x14ac:dyDescent="0.4">
      <c r="J139" s="168" t="s">
        <v>881</v>
      </c>
      <c r="K139" s="169">
        <v>36032</v>
      </c>
      <c r="L139" s="169">
        <v>36399</v>
      </c>
      <c r="M139" s="169">
        <v>38399</v>
      </c>
      <c r="N139" s="168"/>
    </row>
    <row r="140" spans="10:14" ht="16" thickBot="1" x14ac:dyDescent="0.4">
      <c r="J140" s="168" t="s">
        <v>882</v>
      </c>
      <c r="K140" s="169">
        <v>36112</v>
      </c>
      <c r="L140" s="169">
        <v>37511</v>
      </c>
      <c r="M140" s="169">
        <v>38399</v>
      </c>
      <c r="N140" s="168"/>
    </row>
    <row r="141" spans="10:14" ht="16" thickBot="1" x14ac:dyDescent="0.4">
      <c r="J141" s="168" t="s">
        <v>883</v>
      </c>
      <c r="K141" s="169">
        <v>35900</v>
      </c>
      <c r="L141" s="169">
        <v>37945</v>
      </c>
      <c r="M141" s="169">
        <v>38399</v>
      </c>
      <c r="N141" s="168"/>
    </row>
    <row r="142" spans="10:14" ht="16" thickBot="1" x14ac:dyDescent="0.4">
      <c r="J142" s="168" t="s">
        <v>884</v>
      </c>
      <c r="K142" s="169">
        <v>35991</v>
      </c>
      <c r="L142" s="169">
        <v>37603</v>
      </c>
      <c r="M142" s="169">
        <v>38399</v>
      </c>
      <c r="N142" s="172">
        <v>0.03</v>
      </c>
    </row>
    <row r="143" spans="10:14" ht="16" thickBot="1" x14ac:dyDescent="0.4">
      <c r="J143" s="168" t="s">
        <v>885</v>
      </c>
      <c r="K143" s="169">
        <v>35914</v>
      </c>
      <c r="L143" s="168" t="s">
        <v>748</v>
      </c>
      <c r="M143" s="169">
        <v>38399</v>
      </c>
      <c r="N143" s="172">
        <v>3.0000000000000001E-3</v>
      </c>
    </row>
    <row r="144" spans="10:14" ht="16" thickBot="1" x14ac:dyDescent="0.4">
      <c r="J144" s="168" t="s">
        <v>886</v>
      </c>
      <c r="K144" s="168"/>
      <c r="L144" s="170" t="s">
        <v>873</v>
      </c>
      <c r="M144" s="169">
        <v>38453</v>
      </c>
      <c r="N144" s="168"/>
    </row>
    <row r="145" spans="10:14" ht="31.5" thickBot="1" x14ac:dyDescent="0.4">
      <c r="J145" s="168" t="s">
        <v>887</v>
      </c>
      <c r="K145" s="169">
        <v>36063</v>
      </c>
      <c r="L145" s="168" t="s">
        <v>888</v>
      </c>
      <c r="M145" s="169">
        <v>38399</v>
      </c>
      <c r="N145" s="168"/>
    </row>
    <row r="146" spans="10:14" ht="31.5" thickBot="1" x14ac:dyDescent="0.4">
      <c r="J146" s="168" t="s">
        <v>889</v>
      </c>
      <c r="K146" s="168"/>
      <c r="L146" s="170" t="s">
        <v>890</v>
      </c>
      <c r="M146" s="169">
        <v>38399</v>
      </c>
      <c r="N146" s="168"/>
    </row>
    <row r="147" spans="10:14" ht="16" thickBot="1" x14ac:dyDescent="0.4">
      <c r="J147" s="168" t="s">
        <v>891</v>
      </c>
      <c r="K147" s="168" t="s">
        <v>892</v>
      </c>
      <c r="L147" s="169">
        <v>36969</v>
      </c>
      <c r="M147" s="169">
        <v>38399</v>
      </c>
      <c r="N147" s="172">
        <v>1.2E-2</v>
      </c>
    </row>
    <row r="148" spans="10:14" ht="31.5" thickBot="1" x14ac:dyDescent="0.4">
      <c r="J148" s="177" t="s">
        <v>893</v>
      </c>
      <c r="K148" s="169">
        <v>36230</v>
      </c>
      <c r="L148" s="169">
        <v>38309</v>
      </c>
      <c r="M148" s="169">
        <v>38399</v>
      </c>
      <c r="N148" s="172">
        <v>0.17399999999999999</v>
      </c>
    </row>
    <row r="149" spans="10:14" ht="16" thickBot="1" x14ac:dyDescent="0.4">
      <c r="J149" s="168" t="s">
        <v>894</v>
      </c>
      <c r="K149" s="168"/>
      <c r="L149" s="170" t="s">
        <v>895</v>
      </c>
      <c r="M149" s="169">
        <v>38399</v>
      </c>
      <c r="N149" s="168"/>
    </row>
    <row r="150" spans="10:14" ht="31.5" thickBot="1" x14ac:dyDescent="0.4">
      <c r="J150" s="168" t="s">
        <v>896</v>
      </c>
      <c r="K150" s="168"/>
      <c r="L150" s="168" t="s">
        <v>897</v>
      </c>
      <c r="M150" s="168" t="s">
        <v>898</v>
      </c>
      <c r="N150" s="168"/>
    </row>
    <row r="151" spans="10:14" ht="16" thickBot="1" x14ac:dyDescent="0.4">
      <c r="J151" s="168" t="s">
        <v>899</v>
      </c>
      <c r="K151" s="169">
        <v>35870</v>
      </c>
      <c r="L151" s="169">
        <v>37853</v>
      </c>
      <c r="M151" s="169">
        <v>38399</v>
      </c>
      <c r="N151" s="168"/>
    </row>
    <row r="152" spans="10:14" ht="62.5" thickBot="1" x14ac:dyDescent="0.4">
      <c r="J152" s="168" t="s">
        <v>900</v>
      </c>
      <c r="K152" s="169">
        <v>35873</v>
      </c>
      <c r="L152" s="169">
        <v>38352</v>
      </c>
      <c r="M152" s="169">
        <v>38442</v>
      </c>
      <c r="N152" s="168"/>
    </row>
    <row r="153" spans="10:14" ht="16" thickBot="1" x14ac:dyDescent="0.4">
      <c r="J153" s="168" t="s">
        <v>901</v>
      </c>
      <c r="K153" s="169">
        <v>35870</v>
      </c>
      <c r="L153" s="169">
        <v>36857</v>
      </c>
      <c r="M153" s="169">
        <v>38399</v>
      </c>
      <c r="N153" s="168"/>
    </row>
    <row r="154" spans="10:14" x14ac:dyDescent="0.35">
      <c r="J154" s="247" t="s">
        <v>902</v>
      </c>
      <c r="K154" s="247"/>
      <c r="L154" s="236">
        <v>40296</v>
      </c>
      <c r="M154" s="179">
        <v>41117</v>
      </c>
      <c r="N154" s="247"/>
    </row>
    <row r="155" spans="10:14" ht="16" thickBot="1" x14ac:dyDescent="0.4">
      <c r="J155" s="248"/>
      <c r="K155" s="248"/>
      <c r="L155" s="238"/>
      <c r="M155" s="175">
        <v>2010</v>
      </c>
      <c r="N155" s="248"/>
    </row>
    <row r="156" spans="10:14" ht="31.5" thickBot="1" x14ac:dyDescent="0.4">
      <c r="J156" s="168" t="s">
        <v>903</v>
      </c>
      <c r="K156" s="168"/>
      <c r="L156" s="170" t="s">
        <v>904</v>
      </c>
      <c r="M156" s="169">
        <v>39653</v>
      </c>
      <c r="N156" s="168"/>
    </row>
    <row r="157" spans="10:14" ht="16" thickBot="1" x14ac:dyDescent="0.4">
      <c r="J157" s="168" t="s">
        <v>905</v>
      </c>
      <c r="K157" s="168"/>
      <c r="L157" s="170" t="s">
        <v>906</v>
      </c>
      <c r="M157" s="168" t="s">
        <v>907</v>
      </c>
      <c r="N157" s="168"/>
    </row>
    <row r="158" spans="10:14" ht="16" thickBot="1" x14ac:dyDescent="0.4">
      <c r="J158" s="168" t="s">
        <v>908</v>
      </c>
      <c r="K158" s="168"/>
      <c r="L158" s="170" t="s">
        <v>909</v>
      </c>
      <c r="M158" s="169">
        <v>38399</v>
      </c>
      <c r="N158" s="168"/>
    </row>
    <row r="159" spans="10:14" ht="16" thickBot="1" x14ac:dyDescent="0.4">
      <c r="J159" s="168" t="s">
        <v>910</v>
      </c>
      <c r="K159" s="168"/>
      <c r="L159" s="170" t="s">
        <v>911</v>
      </c>
      <c r="M159" s="169">
        <v>39464</v>
      </c>
      <c r="N159" s="168"/>
    </row>
    <row r="160" spans="10:14" ht="16" thickBot="1" x14ac:dyDescent="0.4">
      <c r="J160" s="168" t="s">
        <v>912</v>
      </c>
      <c r="K160" s="169">
        <v>35874</v>
      </c>
      <c r="L160" s="169">
        <v>37459</v>
      </c>
      <c r="M160" s="169">
        <v>38399</v>
      </c>
      <c r="N160" s="168"/>
    </row>
    <row r="161" spans="10:14" ht="16" thickBot="1" x14ac:dyDescent="0.4">
      <c r="J161" s="168" t="s">
        <v>913</v>
      </c>
      <c r="K161" s="168"/>
      <c r="L161" s="170" t="s">
        <v>914</v>
      </c>
      <c r="M161" s="169">
        <v>39121</v>
      </c>
      <c r="N161" s="168"/>
    </row>
    <row r="162" spans="10:14" ht="16" thickBot="1" x14ac:dyDescent="0.4">
      <c r="J162" s="168" t="s">
        <v>915</v>
      </c>
      <c r="K162" s="168"/>
      <c r="L162" s="170" t="s">
        <v>916</v>
      </c>
      <c r="M162" s="169">
        <v>38909</v>
      </c>
      <c r="N162" s="168"/>
    </row>
    <row r="163" spans="10:14" ht="16" thickBot="1" x14ac:dyDescent="0.4">
      <c r="J163" s="168" t="s">
        <v>917</v>
      </c>
      <c r="K163" s="169">
        <v>36217</v>
      </c>
      <c r="L163" s="169">
        <v>37407</v>
      </c>
      <c r="M163" s="169">
        <v>38399</v>
      </c>
      <c r="N163" s="172">
        <v>4.0000000000000001E-3</v>
      </c>
    </row>
    <row r="164" spans="10:14" ht="16" thickBot="1" x14ac:dyDescent="0.4">
      <c r="J164" s="168" t="s">
        <v>918</v>
      </c>
      <c r="K164" s="169">
        <v>36089</v>
      </c>
      <c r="L164" s="168" t="s">
        <v>919</v>
      </c>
      <c r="M164" s="169">
        <v>38399</v>
      </c>
      <c r="N164" s="168"/>
    </row>
    <row r="165" spans="10:14" ht="31.5" thickBot="1" x14ac:dyDescent="0.4">
      <c r="J165" s="168" t="s">
        <v>920</v>
      </c>
      <c r="K165" s="169">
        <v>36067</v>
      </c>
      <c r="L165" s="169">
        <v>37693</v>
      </c>
      <c r="M165" s="169">
        <v>38399</v>
      </c>
      <c r="N165" s="168"/>
    </row>
    <row r="166" spans="10:14" x14ac:dyDescent="0.35">
      <c r="J166" s="247" t="s">
        <v>921</v>
      </c>
      <c r="K166" s="247"/>
      <c r="L166" s="236">
        <v>40385</v>
      </c>
      <c r="M166" s="179">
        <v>41206</v>
      </c>
      <c r="N166" s="247"/>
    </row>
    <row r="167" spans="10:14" ht="16" thickBot="1" x14ac:dyDescent="0.4">
      <c r="J167" s="248"/>
      <c r="K167" s="248"/>
      <c r="L167" s="238"/>
      <c r="M167" s="175">
        <v>2010</v>
      </c>
      <c r="N167" s="248"/>
    </row>
    <row r="168" spans="10:14" ht="16" thickBot="1" x14ac:dyDescent="0.4">
      <c r="J168" s="168" t="s">
        <v>922</v>
      </c>
      <c r="K168" s="168"/>
      <c r="L168" s="170" t="s">
        <v>923</v>
      </c>
      <c r="M168" s="169">
        <v>38399</v>
      </c>
      <c r="N168" s="168"/>
    </row>
    <row r="169" spans="10:14" ht="16" thickBot="1" x14ac:dyDescent="0.4">
      <c r="J169" s="168" t="s">
        <v>924</v>
      </c>
      <c r="K169" s="169">
        <v>35914</v>
      </c>
      <c r="L169" s="169">
        <v>37407</v>
      </c>
      <c r="M169" s="169">
        <v>38399</v>
      </c>
      <c r="N169" s="172">
        <v>1.9E-2</v>
      </c>
    </row>
    <row r="170" spans="10:14" ht="16" thickBot="1" x14ac:dyDescent="0.4">
      <c r="J170" s="168" t="s">
        <v>925</v>
      </c>
      <c r="K170" s="168"/>
      <c r="L170" s="168" t="s">
        <v>926</v>
      </c>
      <c r="M170" s="169">
        <v>38399</v>
      </c>
      <c r="N170" s="168"/>
    </row>
    <row r="171" spans="10:14" ht="16" thickBot="1" x14ac:dyDescent="0.4">
      <c r="J171" s="168" t="s">
        <v>927</v>
      </c>
      <c r="K171" s="168"/>
      <c r="L171" s="168" t="s">
        <v>928</v>
      </c>
      <c r="M171" s="169">
        <v>38399</v>
      </c>
      <c r="N171" s="168"/>
    </row>
    <row r="172" spans="10:14" ht="16" thickBot="1" x14ac:dyDescent="0.4">
      <c r="J172" s="168" t="s">
        <v>929</v>
      </c>
      <c r="K172" s="168"/>
      <c r="L172" s="170" t="s">
        <v>930</v>
      </c>
      <c r="M172" s="169">
        <v>39075</v>
      </c>
      <c r="N172" s="168"/>
    </row>
    <row r="173" spans="10:14" ht="16" thickBot="1" x14ac:dyDescent="0.4">
      <c r="J173" s="168" t="s">
        <v>931</v>
      </c>
      <c r="K173" s="168"/>
      <c r="L173" s="170" t="s">
        <v>932</v>
      </c>
      <c r="M173" s="169">
        <v>38820</v>
      </c>
      <c r="N173" s="168"/>
    </row>
    <row r="174" spans="10:14" ht="16" thickBot="1" x14ac:dyDescent="0.4">
      <c r="J174" s="168" t="s">
        <v>933</v>
      </c>
      <c r="K174" s="169">
        <v>35914</v>
      </c>
      <c r="L174" s="169">
        <v>37407</v>
      </c>
      <c r="M174" s="169">
        <v>38399</v>
      </c>
      <c r="N174" s="172">
        <v>4.0000000000000001E-3</v>
      </c>
    </row>
    <row r="175" spans="10:14" ht="31.5" thickBot="1" x14ac:dyDescent="0.4">
      <c r="J175" s="168" t="s">
        <v>934</v>
      </c>
      <c r="K175" s="169">
        <v>35870</v>
      </c>
      <c r="L175" s="168" t="s">
        <v>935</v>
      </c>
      <c r="M175" s="169">
        <v>38399</v>
      </c>
      <c r="N175" s="172">
        <v>3.0000000000000001E-3</v>
      </c>
    </row>
    <row r="176" spans="10:14" ht="31.5" thickBot="1" x14ac:dyDescent="0.4">
      <c r="J176" s="177" t="s">
        <v>936</v>
      </c>
      <c r="K176" s="168"/>
      <c r="L176" s="170" t="s">
        <v>937</v>
      </c>
      <c r="M176" s="169">
        <v>38834</v>
      </c>
      <c r="N176" s="168"/>
    </row>
    <row r="177" spans="10:14" ht="16" thickBot="1" x14ac:dyDescent="0.4">
      <c r="J177" s="168" t="s">
        <v>938</v>
      </c>
      <c r="K177" s="168"/>
      <c r="L177" s="170" t="s">
        <v>939</v>
      </c>
      <c r="M177" s="169">
        <v>39901</v>
      </c>
      <c r="N177" s="168"/>
    </row>
    <row r="178" spans="10:14" ht="16" thickBot="1" x14ac:dyDescent="0.4">
      <c r="J178" s="168" t="s">
        <v>940</v>
      </c>
      <c r="K178" s="168" t="s">
        <v>941</v>
      </c>
      <c r="L178" s="169">
        <v>37496</v>
      </c>
      <c r="M178" s="169">
        <v>38399</v>
      </c>
      <c r="N178" s="168"/>
    </row>
    <row r="179" spans="10:14" ht="62.5" thickBot="1" x14ac:dyDescent="0.4">
      <c r="J179" s="168" t="s">
        <v>942</v>
      </c>
      <c r="K179" s="168"/>
      <c r="L179" s="170" t="s">
        <v>943</v>
      </c>
      <c r="M179" s="169">
        <v>38399</v>
      </c>
      <c r="N179" s="168"/>
    </row>
    <row r="180" spans="10:14" ht="16" thickBot="1" x14ac:dyDescent="0.4">
      <c r="J180" s="168" t="s">
        <v>944</v>
      </c>
      <c r="K180" s="168"/>
      <c r="L180" s="170" t="s">
        <v>945</v>
      </c>
      <c r="M180" s="169">
        <v>39825</v>
      </c>
      <c r="N180" s="168"/>
    </row>
    <row r="181" spans="10:14" ht="16" thickBot="1" x14ac:dyDescent="0.4">
      <c r="J181" s="168" t="s">
        <v>946</v>
      </c>
      <c r="K181" s="168"/>
      <c r="L181" s="168" t="s">
        <v>947</v>
      </c>
      <c r="M181" s="169">
        <v>38399</v>
      </c>
      <c r="N181" s="168"/>
    </row>
    <row r="182" spans="10:14" ht="16" thickBot="1" x14ac:dyDescent="0.4">
      <c r="J182" s="168" t="s">
        <v>948</v>
      </c>
      <c r="K182" s="168"/>
      <c r="L182" s="170" t="s">
        <v>949</v>
      </c>
      <c r="M182" s="169">
        <v>39551</v>
      </c>
      <c r="N182" s="168"/>
    </row>
    <row r="183" spans="10:14" ht="31.5" thickBot="1" x14ac:dyDescent="0.4">
      <c r="J183" s="168" t="s">
        <v>950</v>
      </c>
      <c r="K183" s="168" t="s">
        <v>951</v>
      </c>
      <c r="L183" s="169">
        <v>36188</v>
      </c>
      <c r="M183" s="169">
        <v>38399</v>
      </c>
      <c r="N183" s="168"/>
    </row>
    <row r="184" spans="10:14" ht="16" thickBot="1" x14ac:dyDescent="0.4">
      <c r="J184" s="168" t="s">
        <v>952</v>
      </c>
      <c r="K184" s="168"/>
      <c r="L184" s="170" t="s">
        <v>953</v>
      </c>
      <c r="M184" s="169">
        <v>38399</v>
      </c>
      <c r="N184" s="168"/>
    </row>
    <row r="185" spans="10:14" ht="16" thickBot="1" x14ac:dyDescent="0.4">
      <c r="J185" s="168" t="s">
        <v>954</v>
      </c>
      <c r="K185" s="168"/>
      <c r="L185" s="170" t="s">
        <v>955</v>
      </c>
      <c r="M185" s="169">
        <v>40051</v>
      </c>
      <c r="N185" s="168"/>
    </row>
    <row r="186" spans="10:14" ht="31.5" thickBot="1" x14ac:dyDescent="0.4">
      <c r="J186" s="168" t="s">
        <v>956</v>
      </c>
      <c r="K186" s="169">
        <v>36066</v>
      </c>
      <c r="L186" s="169">
        <v>36171</v>
      </c>
      <c r="M186" s="169">
        <v>38399</v>
      </c>
      <c r="N186" s="168"/>
    </row>
    <row r="187" spans="10:14" ht="16" thickBot="1" x14ac:dyDescent="0.4">
      <c r="J187" s="168" t="s">
        <v>957</v>
      </c>
      <c r="K187" s="169">
        <v>36115</v>
      </c>
      <c r="L187" s="169">
        <v>36115</v>
      </c>
      <c r="M187" s="169">
        <v>38399</v>
      </c>
      <c r="N187" s="168"/>
    </row>
    <row r="188" spans="10:14" ht="16" thickBot="1" x14ac:dyDescent="0.4">
      <c r="J188" s="168" t="s">
        <v>958</v>
      </c>
      <c r="K188" s="168"/>
      <c r="L188" s="170" t="s">
        <v>959</v>
      </c>
      <c r="M188" s="169">
        <v>38399</v>
      </c>
      <c r="N188" s="168"/>
    </row>
    <row r="189" spans="10:14" ht="16" thickBot="1" x14ac:dyDescent="0.4">
      <c r="J189" s="168" t="s">
        <v>960</v>
      </c>
      <c r="K189" s="169">
        <v>36234</v>
      </c>
      <c r="L189" s="169">
        <v>38089</v>
      </c>
      <c r="M189" s="169">
        <v>38399</v>
      </c>
      <c r="N189" s="168"/>
    </row>
    <row r="190" spans="10:14" ht="31.5" thickBot="1" x14ac:dyDescent="0.4">
      <c r="J190" s="168" t="s">
        <v>961</v>
      </c>
      <c r="K190" s="168"/>
      <c r="L190" s="170" t="s">
        <v>962</v>
      </c>
      <c r="M190" s="169">
        <v>38468</v>
      </c>
      <c r="N190" s="168"/>
    </row>
    <row r="191" spans="10:14" ht="93.5" thickBot="1" x14ac:dyDescent="0.4">
      <c r="J191" s="168" t="s">
        <v>963</v>
      </c>
      <c r="K191" s="169">
        <v>35914</v>
      </c>
      <c r="L191" s="168" t="s">
        <v>989</v>
      </c>
      <c r="M191" s="169">
        <v>38399</v>
      </c>
      <c r="N191" s="172">
        <v>4.2999999999999997E-2</v>
      </c>
    </row>
    <row r="192" spans="10:14" ht="47" thickBot="1" x14ac:dyDescent="0.4">
      <c r="J192" s="168" t="s">
        <v>964</v>
      </c>
      <c r="K192" s="168"/>
      <c r="L192" s="170" t="s">
        <v>680</v>
      </c>
      <c r="M192" s="169">
        <v>38399</v>
      </c>
      <c r="N192" s="168"/>
    </row>
    <row r="193" spans="10:14" ht="47" thickBot="1" x14ac:dyDescent="0.4">
      <c r="J193" s="168" t="s">
        <v>965</v>
      </c>
      <c r="K193" s="169">
        <v>36111</v>
      </c>
      <c r="L193" s="168"/>
      <c r="M193" s="168"/>
      <c r="N193" s="168"/>
    </row>
    <row r="194" spans="10:14" ht="16" thickBot="1" x14ac:dyDescent="0.4">
      <c r="J194" s="168" t="s">
        <v>966</v>
      </c>
      <c r="K194" s="169">
        <v>36005</v>
      </c>
      <c r="L194" s="168" t="s">
        <v>967</v>
      </c>
      <c r="M194" s="169">
        <v>38399</v>
      </c>
      <c r="N194" s="168"/>
    </row>
    <row r="195" spans="10:14" ht="16" thickBot="1" x14ac:dyDescent="0.4">
      <c r="J195" s="168" t="s">
        <v>968</v>
      </c>
      <c r="K195" s="169">
        <v>36119</v>
      </c>
      <c r="L195" s="169">
        <v>36445</v>
      </c>
      <c r="M195" s="169">
        <v>38399</v>
      </c>
      <c r="N195" s="168"/>
    </row>
    <row r="196" spans="10:14" ht="16" thickBot="1" x14ac:dyDescent="0.4">
      <c r="J196" s="168" t="s">
        <v>969</v>
      </c>
      <c r="K196" s="168"/>
      <c r="L196" s="170" t="s">
        <v>970</v>
      </c>
      <c r="M196" s="169">
        <v>38399</v>
      </c>
      <c r="N196" s="168"/>
    </row>
    <row r="197" spans="10:14" ht="16" thickBot="1" x14ac:dyDescent="0.4">
      <c r="J197" s="168" t="s">
        <v>971</v>
      </c>
      <c r="K197" s="168"/>
      <c r="L197" s="170" t="s">
        <v>972</v>
      </c>
      <c r="M197" s="169">
        <v>38491</v>
      </c>
      <c r="N197" s="168"/>
    </row>
    <row r="198" spans="10:14" ht="16" thickBot="1" x14ac:dyDescent="0.4">
      <c r="J198" s="168" t="s">
        <v>973</v>
      </c>
      <c r="K198" s="168" t="s">
        <v>974</v>
      </c>
      <c r="L198" s="169">
        <v>37524</v>
      </c>
      <c r="M198" s="169">
        <v>38399</v>
      </c>
      <c r="N198" s="168"/>
    </row>
    <row r="199" spans="10:14" ht="16" thickBot="1" x14ac:dyDescent="0.4">
      <c r="J199" s="168" t="s">
        <v>975</v>
      </c>
      <c r="K199" s="168"/>
      <c r="L199" s="170" t="s">
        <v>976</v>
      </c>
      <c r="M199" s="169">
        <v>38399</v>
      </c>
      <c r="N199" s="168"/>
    </row>
    <row r="200" spans="10:14" ht="16" thickBot="1" x14ac:dyDescent="0.4">
      <c r="J200" s="168" t="s">
        <v>977</v>
      </c>
      <c r="K200" s="168" t="s">
        <v>978</v>
      </c>
      <c r="L200" s="168" t="s">
        <v>979</v>
      </c>
      <c r="M200" s="168" t="s">
        <v>980</v>
      </c>
      <c r="N200" s="168"/>
    </row>
    <row r="201" spans="10:14" ht="16" thickBot="1" x14ac:dyDescent="0.4">
      <c r="J201" s="168" t="s">
        <v>981</v>
      </c>
      <c r="K201" s="168"/>
      <c r="L201" s="170" t="s">
        <v>982</v>
      </c>
      <c r="M201" s="169">
        <v>40084</v>
      </c>
      <c r="N201" s="168"/>
    </row>
  </sheetData>
  <mergeCells count="20">
    <mergeCell ref="J154:J155"/>
    <mergeCell ref="K154:K155"/>
    <mergeCell ref="L154:L155"/>
    <mergeCell ref="N154:N155"/>
    <mergeCell ref="J166:J167"/>
    <mergeCell ref="K166:K167"/>
    <mergeCell ref="L166:L167"/>
    <mergeCell ref="N166:N167"/>
    <mergeCell ref="B32:E32"/>
    <mergeCell ref="N1:N4"/>
    <mergeCell ref="J33:J35"/>
    <mergeCell ref="K33:K35"/>
    <mergeCell ref="L33:L35"/>
    <mergeCell ref="N33:N35"/>
    <mergeCell ref="B7:C7"/>
    <mergeCell ref="J1:J4"/>
    <mergeCell ref="K1:K4"/>
    <mergeCell ref="M1:M4"/>
    <mergeCell ref="H3:I3"/>
    <mergeCell ref="H4:I4"/>
  </mergeCells>
  <hyperlinks>
    <hyperlink ref="J33" r:id="rId1" display="http://unfccc.int/kyoto_protocol/background/items/6603.php"/>
    <hyperlink ref="J44" r:id="rId2" display="http://unfccc.int/kyoto_protocol/status_of_ratification/items/5424.php"/>
    <hyperlink ref="J64" r:id="rId3" display="http://unfccc.int/kyoto_protocol/status_of_ratification/items/5424.php"/>
    <hyperlink ref="J67" r:id="rId4" display="http://unfccc.int/kyoto_protocol/status_of_ratification/items/5424.php"/>
    <hyperlink ref="J87" r:id="rId5" display="http://unfccc.int/kyoto_protocol/status_of_ratification/items/5424.php"/>
    <hyperlink ref="J95" r:id="rId6" display="http://unfccc.int/kyoto_protocol/status_of_ratification/items/5424.php"/>
    <hyperlink ref="J125" r:id="rId7" display="http://unfccc.int/kyoto_protocol/status_of_ratification/items/5424.php"/>
    <hyperlink ref="N128" r:id="rId8" display="http://unfccc.int/kyoto_protocol/status_of_ratification/items/5424.php"/>
    <hyperlink ref="J132" r:id="rId9" display="http://unfccc.int/kyoto_protocol/status_of_ratification/items/5424.php"/>
    <hyperlink ref="J148" r:id="rId10" display="http://unfccc.int/kyoto_protocol/status_of_ratification/items/5424.php"/>
    <hyperlink ref="J176" r:id="rId11" display="http://unfccc.int/kyoto_protocol/status_of_ratification/items/5424.php"/>
    <hyperlink ref="O1" r:id="rId12"/>
    <hyperlink ref="H3"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G18" sqref="G18"/>
    </sheetView>
  </sheetViews>
  <sheetFormatPr defaultRowHeight="15.5" x14ac:dyDescent="0.35"/>
  <cols>
    <col min="1" max="1" width="8.6640625" style="221"/>
    <col min="2" max="2" width="9" style="221" bestFit="1" customWidth="1"/>
    <col min="3" max="5" width="8.6640625" style="221"/>
    <col min="6" max="7" width="9" style="221" bestFit="1" customWidth="1"/>
    <col min="8" max="16384" width="8.6640625" style="221"/>
  </cols>
  <sheetData>
    <row r="1" spans="1:10" x14ac:dyDescent="0.35">
      <c r="A1" s="222" t="s">
        <v>48</v>
      </c>
      <c r="B1" s="220">
        <v>22</v>
      </c>
      <c r="C1" s="220">
        <v>-2</v>
      </c>
      <c r="D1" s="219" t="s">
        <v>1098</v>
      </c>
      <c r="E1" s="221">
        <v>4</v>
      </c>
      <c r="G1" s="222" t="s">
        <v>48</v>
      </c>
      <c r="H1" s="222" t="s">
        <v>1110</v>
      </c>
      <c r="I1" s="222" t="s">
        <v>44</v>
      </c>
      <c r="J1" s="221">
        <v>2</v>
      </c>
    </row>
    <row r="2" spans="1:10" x14ac:dyDescent="0.35">
      <c r="A2" s="222" t="s">
        <v>44</v>
      </c>
      <c r="B2" s="221">
        <f>B1-E1</f>
        <v>18</v>
      </c>
      <c r="C2" s="221">
        <f>C1</f>
        <v>-2</v>
      </c>
      <c r="D2" s="219" t="s">
        <v>1099</v>
      </c>
      <c r="F2" s="221">
        <v>0</v>
      </c>
      <c r="G2" s="221">
        <f>B1+C1*F2</f>
        <v>22</v>
      </c>
      <c r="H2" s="221">
        <f>+$B$3+$C$3*F2</f>
        <v>-2</v>
      </c>
      <c r="I2" s="219">
        <f>G2-E1</f>
        <v>18</v>
      </c>
    </row>
    <row r="3" spans="1:10" x14ac:dyDescent="0.35">
      <c r="A3" s="222" t="s">
        <v>1110</v>
      </c>
      <c r="B3" s="220">
        <v>-2</v>
      </c>
      <c r="C3" s="220">
        <v>1</v>
      </c>
      <c r="D3" s="219" t="s">
        <v>1100</v>
      </c>
      <c r="F3" s="221">
        <f>C4</f>
        <v>14</v>
      </c>
      <c r="G3" s="221">
        <f>B1+C1*F3</f>
        <v>-6</v>
      </c>
      <c r="H3" s="221">
        <f>+$B$3+$C$3*F3</f>
        <v>12</v>
      </c>
      <c r="I3" s="219">
        <f>G3-E1</f>
        <v>-10</v>
      </c>
    </row>
    <row r="4" spans="1:10" x14ac:dyDescent="0.35">
      <c r="A4" s="219" t="s">
        <v>1101</v>
      </c>
      <c r="C4" s="220">
        <v>14</v>
      </c>
      <c r="E4" s="221" t="s">
        <v>1102</v>
      </c>
      <c r="F4" s="221">
        <f>C4</f>
        <v>14</v>
      </c>
      <c r="G4" s="221">
        <v>0</v>
      </c>
    </row>
    <row r="5" spans="1:10" x14ac:dyDescent="0.35">
      <c r="A5" s="221" t="s">
        <v>1103</v>
      </c>
      <c r="F5" s="221">
        <f>C4</f>
        <v>14</v>
      </c>
      <c r="G5" s="221">
        <v>60</v>
      </c>
    </row>
    <row r="6" spans="1:10" x14ac:dyDescent="0.35">
      <c r="A6" s="219" t="s">
        <v>1098</v>
      </c>
      <c r="B6" s="221">
        <f>(B1-B3)/(C3-C1)</f>
        <v>8</v>
      </c>
      <c r="E6" s="219" t="s">
        <v>1104</v>
      </c>
      <c r="F6" s="221">
        <f>B6</f>
        <v>8</v>
      </c>
      <c r="G6" s="221">
        <v>0</v>
      </c>
    </row>
    <row r="7" spans="1:10" x14ac:dyDescent="0.35">
      <c r="A7" s="219" t="s">
        <v>1105</v>
      </c>
      <c r="B7" s="221">
        <f>B1+C1*B6</f>
        <v>6</v>
      </c>
      <c r="F7" s="221">
        <f>F6</f>
        <v>8</v>
      </c>
      <c r="G7" s="221">
        <f>B7</f>
        <v>6</v>
      </c>
    </row>
    <row r="8" spans="1:10" x14ac:dyDescent="0.35">
      <c r="A8" s="219" t="s">
        <v>1106</v>
      </c>
      <c r="B8" s="221">
        <f>+(B2-B3)/(C3-C2)</f>
        <v>6.666666666666667</v>
      </c>
      <c r="E8" s="219"/>
    </row>
    <row r="9" spans="1:10" x14ac:dyDescent="0.35">
      <c r="A9" s="219" t="s">
        <v>1107</v>
      </c>
      <c r="B9" s="221">
        <f>+B3+C3*B8</f>
        <v>4.666666666666667</v>
      </c>
      <c r="E9" s="219"/>
    </row>
    <row r="10" spans="1:10" x14ac:dyDescent="0.35">
      <c r="E10" s="219" t="s">
        <v>1109</v>
      </c>
      <c r="F10" s="221">
        <f>(B2-B3)/(C3-C2)</f>
        <v>6.666666666666667</v>
      </c>
      <c r="G10" s="221">
        <v>0</v>
      </c>
    </row>
    <row r="11" spans="1:10" x14ac:dyDescent="0.35">
      <c r="F11" s="221">
        <f>F10</f>
        <v>6.666666666666667</v>
      </c>
      <c r="G11" s="221">
        <f>B9</f>
        <v>4.666666666666667</v>
      </c>
    </row>
    <row r="12" spans="1:10" x14ac:dyDescent="0.35">
      <c r="E12" s="219" t="s">
        <v>1108</v>
      </c>
      <c r="F12" s="221">
        <f>B6</f>
        <v>8</v>
      </c>
      <c r="G12" s="221">
        <v>0</v>
      </c>
    </row>
    <row r="13" spans="1:10" x14ac:dyDescent="0.35">
      <c r="E13" s="219"/>
      <c r="F13" s="221">
        <f>F12</f>
        <v>8</v>
      </c>
      <c r="G13" s="221">
        <f>B1+C1*F13</f>
        <v>6</v>
      </c>
    </row>
    <row r="14" spans="1:10" x14ac:dyDescent="0.35">
      <c r="E14" s="222" t="s">
        <v>1111</v>
      </c>
      <c r="F14" s="221">
        <f>G11/C1-B1/C1</f>
        <v>8.6666666666666661</v>
      </c>
      <c r="G14" s="221">
        <v>0</v>
      </c>
    </row>
    <row r="15" spans="1:10" x14ac:dyDescent="0.35">
      <c r="F15" s="221">
        <f>G11/C1-B1/C1</f>
        <v>8.6666666666666661</v>
      </c>
      <c r="G15" s="221">
        <f>+B1+C1*F15</f>
        <v>4.6666666666666679</v>
      </c>
    </row>
    <row r="16" spans="1:10" x14ac:dyDescent="0.35">
      <c r="E16" s="221" t="s">
        <v>1112</v>
      </c>
      <c r="F16" s="221">
        <v>0</v>
      </c>
      <c r="G16" s="221">
        <f>G13</f>
        <v>6</v>
      </c>
    </row>
    <row r="17" spans="5:7" x14ac:dyDescent="0.35">
      <c r="F17" s="221">
        <f>F12</f>
        <v>8</v>
      </c>
      <c r="G17" s="221">
        <f>+G16</f>
        <v>6</v>
      </c>
    </row>
    <row r="18" spans="5:7" x14ac:dyDescent="0.35">
      <c r="E18" s="221" t="s">
        <v>1114</v>
      </c>
      <c r="F18" s="221">
        <v>0</v>
      </c>
      <c r="G18" s="221">
        <f>B2+C2*F19</f>
        <v>2</v>
      </c>
    </row>
    <row r="19" spans="5:7" x14ac:dyDescent="0.35">
      <c r="F19" s="221">
        <f>F17</f>
        <v>8</v>
      </c>
      <c r="G19" s="221">
        <f>+G18</f>
        <v>2</v>
      </c>
    </row>
    <row r="20" spans="5:7" x14ac:dyDescent="0.35">
      <c r="E20" s="221" t="s">
        <v>1113</v>
      </c>
      <c r="F20" s="221">
        <v>0</v>
      </c>
      <c r="G20" s="221">
        <f>G11</f>
        <v>4.666666666666667</v>
      </c>
    </row>
    <row r="21" spans="5:7" x14ac:dyDescent="0.35">
      <c r="F21" s="221">
        <f>F15</f>
        <v>8.6666666666666661</v>
      </c>
      <c r="G21" s="221">
        <f>G20</f>
        <v>4.666666666666667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topLeftCell="A204" workbookViewId="0">
      <selection activeCell="B219" sqref="B219"/>
    </sheetView>
  </sheetViews>
  <sheetFormatPr defaultRowHeight="15.5" x14ac:dyDescent="0.35"/>
  <cols>
    <col min="1" max="1" width="12.08203125" style="163" customWidth="1"/>
    <col min="2" max="2" width="9.1640625" style="163" customWidth="1"/>
    <col min="3" max="3" width="8.75" style="163" customWidth="1"/>
    <col min="4" max="4" width="9.1640625" style="163" customWidth="1"/>
    <col min="5" max="5" width="8.75" style="163" customWidth="1"/>
    <col min="6" max="6" width="9.1640625" style="163" customWidth="1"/>
    <col min="7" max="7" width="8.75" style="163" customWidth="1"/>
    <col min="8" max="8" width="9.1640625" style="163" customWidth="1"/>
    <col min="9" max="9" width="8.75" style="163" customWidth="1"/>
    <col min="10" max="10" width="8.6640625" style="163"/>
  </cols>
  <sheetData>
    <row r="1" spans="1:9" x14ac:dyDescent="0.35">
      <c r="A1" s="200" t="s">
        <v>1060</v>
      </c>
      <c r="B1" s="198"/>
      <c r="C1" s="198"/>
      <c r="D1" s="198"/>
      <c r="E1" s="198"/>
      <c r="F1" s="198"/>
      <c r="G1" s="198"/>
      <c r="H1" s="198"/>
      <c r="I1" s="198"/>
    </row>
    <row r="2" spans="1:9" ht="29.5" customHeight="1" x14ac:dyDescent="0.35">
      <c r="A2" s="249" t="s">
        <v>1034</v>
      </c>
      <c r="B2" s="249"/>
      <c r="C2" s="249"/>
      <c r="D2" s="249"/>
      <c r="E2" s="249"/>
      <c r="F2" s="249"/>
      <c r="G2" s="249"/>
      <c r="H2" s="249"/>
      <c r="I2" s="249"/>
    </row>
    <row r="3" spans="1:9" ht="26" customHeight="1" x14ac:dyDescent="0.35">
      <c r="A3" s="250" t="s">
        <v>1035</v>
      </c>
      <c r="B3" s="250"/>
      <c r="C3" s="250"/>
      <c r="D3" s="250"/>
      <c r="E3" s="250"/>
      <c r="F3" s="250"/>
      <c r="G3" s="250"/>
      <c r="H3" s="250"/>
      <c r="I3" s="250"/>
    </row>
    <row r="4" spans="1:9" ht="41.5" customHeight="1" x14ac:dyDescent="0.35">
      <c r="A4" s="251" t="s">
        <v>1036</v>
      </c>
      <c r="B4" s="251"/>
      <c r="C4" s="251"/>
      <c r="D4" s="251"/>
      <c r="E4" s="251"/>
      <c r="F4" s="251"/>
      <c r="G4" s="251"/>
      <c r="H4" s="251"/>
      <c r="I4" s="251"/>
    </row>
    <row r="5" spans="1:9" x14ac:dyDescent="0.35">
      <c r="A5" s="201" t="s">
        <v>109</v>
      </c>
      <c r="B5" s="202">
        <v>1990</v>
      </c>
      <c r="C5" s="203"/>
      <c r="D5" s="202">
        <v>2000</v>
      </c>
      <c r="E5" s="203"/>
      <c r="F5" s="202">
        <v>2005</v>
      </c>
      <c r="G5" s="203"/>
      <c r="H5" s="202">
        <v>2008</v>
      </c>
      <c r="I5" s="203"/>
    </row>
    <row r="6" spans="1:9" ht="31" x14ac:dyDescent="0.35">
      <c r="A6" s="204"/>
      <c r="B6" s="205" t="s">
        <v>1038</v>
      </c>
      <c r="C6" s="205" t="s">
        <v>1039</v>
      </c>
      <c r="D6" s="205" t="s">
        <v>1038</v>
      </c>
      <c r="E6" s="205" t="s">
        <v>1039</v>
      </c>
      <c r="F6" s="205" t="s">
        <v>1038</v>
      </c>
      <c r="G6" s="205" t="s">
        <v>1039</v>
      </c>
      <c r="H6" s="205" t="s">
        <v>1038</v>
      </c>
      <c r="I6" s="205" t="s">
        <v>1039</v>
      </c>
    </row>
    <row r="7" spans="1:9" x14ac:dyDescent="0.35">
      <c r="A7" s="204"/>
      <c r="B7" s="206"/>
      <c r="C7" s="206"/>
      <c r="D7" s="206"/>
      <c r="E7" s="206"/>
      <c r="F7" s="206"/>
      <c r="G7" s="206"/>
      <c r="H7" s="206"/>
      <c r="I7" s="206"/>
    </row>
    <row r="8" spans="1:9" x14ac:dyDescent="0.35">
      <c r="A8" s="204"/>
      <c r="B8" s="206"/>
      <c r="C8" s="206">
        <v>100</v>
      </c>
      <c r="D8" s="206"/>
      <c r="E8" s="206">
        <v>100</v>
      </c>
      <c r="F8" s="206"/>
      <c r="G8" s="206">
        <v>100</v>
      </c>
      <c r="H8" s="206"/>
      <c r="I8" s="206">
        <v>100</v>
      </c>
    </row>
    <row r="9" spans="1:9" x14ac:dyDescent="0.35">
      <c r="A9" s="204" t="s">
        <v>1037</v>
      </c>
      <c r="B9" s="206">
        <v>36405</v>
      </c>
      <c r="C9" s="206"/>
      <c r="D9" s="206">
        <v>38728</v>
      </c>
      <c r="E9" s="206"/>
      <c r="F9" s="206">
        <v>45807</v>
      </c>
      <c r="G9" s="206"/>
      <c r="H9" s="206">
        <v>46917</v>
      </c>
      <c r="I9" s="206"/>
    </row>
    <row r="10" spans="1:9" x14ac:dyDescent="0.35">
      <c r="A10" s="207"/>
      <c r="B10" s="208"/>
      <c r="C10" s="208"/>
      <c r="D10" s="208"/>
      <c r="E10" s="208"/>
      <c r="F10" s="208"/>
      <c r="G10" s="208"/>
      <c r="H10" s="208"/>
      <c r="I10" s="208"/>
    </row>
    <row r="11" spans="1:9" x14ac:dyDescent="0.35">
      <c r="A11" s="209" t="s">
        <v>390</v>
      </c>
      <c r="B11" s="210">
        <v>11.6</v>
      </c>
      <c r="C11" s="210">
        <v>0.03</v>
      </c>
      <c r="D11" s="210">
        <v>12.33</v>
      </c>
      <c r="E11" s="210">
        <v>0.03</v>
      </c>
      <c r="F11" s="210">
        <v>13.46</v>
      </c>
      <c r="G11" s="210">
        <v>0.03</v>
      </c>
      <c r="H11" s="210">
        <v>13.99</v>
      </c>
      <c r="I11" s="210">
        <v>0.03</v>
      </c>
    </row>
    <row r="12" spans="1:9" x14ac:dyDescent="0.35">
      <c r="A12" s="211" t="s">
        <v>196</v>
      </c>
      <c r="B12" s="212">
        <v>9.9600000000000009</v>
      </c>
      <c r="C12" s="212">
        <v>0.03</v>
      </c>
      <c r="D12" s="212">
        <v>6.91</v>
      </c>
      <c r="E12" s="212">
        <v>0.02</v>
      </c>
      <c r="F12" s="212">
        <v>8.4</v>
      </c>
      <c r="G12" s="212">
        <v>0.02</v>
      </c>
      <c r="H12" s="212">
        <v>8.18</v>
      </c>
      <c r="I12" s="212">
        <v>0.02</v>
      </c>
    </row>
    <row r="13" spans="1:9" x14ac:dyDescent="0.35">
      <c r="A13" s="209" t="s">
        <v>202</v>
      </c>
      <c r="B13" s="210">
        <v>104.77</v>
      </c>
      <c r="C13" s="210">
        <v>0.28999999999999998</v>
      </c>
      <c r="D13" s="210">
        <v>130.93</v>
      </c>
      <c r="E13" s="210">
        <v>0.34</v>
      </c>
      <c r="F13" s="210">
        <v>143.63</v>
      </c>
      <c r="G13" s="210">
        <v>0.31</v>
      </c>
      <c r="H13" s="210">
        <v>157.97999999999999</v>
      </c>
      <c r="I13" s="210">
        <v>0.34</v>
      </c>
    </row>
    <row r="14" spans="1:9" ht="31" x14ac:dyDescent="0.35">
      <c r="A14" s="211" t="s">
        <v>557</v>
      </c>
      <c r="B14" s="212">
        <v>0.02</v>
      </c>
      <c r="C14" s="212">
        <v>0</v>
      </c>
      <c r="D14" s="212">
        <v>0.05</v>
      </c>
      <c r="E14" s="212">
        <v>0</v>
      </c>
      <c r="F14" s="212">
        <v>0.05</v>
      </c>
      <c r="G14" s="212">
        <v>0</v>
      </c>
      <c r="H14" s="212">
        <v>0.05</v>
      </c>
      <c r="I14" s="212">
        <v>0</v>
      </c>
    </row>
    <row r="15" spans="1:9" x14ac:dyDescent="0.35">
      <c r="A15" s="209" t="s">
        <v>203</v>
      </c>
      <c r="B15" s="210">
        <v>31.26</v>
      </c>
      <c r="C15" s="210">
        <v>0.09</v>
      </c>
      <c r="D15" s="210">
        <v>37.99</v>
      </c>
      <c r="E15" s="210">
        <v>0.1</v>
      </c>
      <c r="F15" s="210">
        <v>38.19</v>
      </c>
      <c r="G15" s="210">
        <v>0.08</v>
      </c>
      <c r="H15" s="210">
        <v>41.05</v>
      </c>
      <c r="I15" s="210">
        <v>0.09</v>
      </c>
    </row>
    <row r="16" spans="1:9" ht="31" x14ac:dyDescent="0.35">
      <c r="A16" s="211" t="s">
        <v>204</v>
      </c>
      <c r="B16" s="212">
        <v>0.34</v>
      </c>
      <c r="C16" s="212">
        <v>0</v>
      </c>
      <c r="D16" s="212">
        <v>0.37</v>
      </c>
      <c r="E16" s="212">
        <v>0</v>
      </c>
      <c r="F16" s="212">
        <v>0.42</v>
      </c>
      <c r="G16" s="212">
        <v>0</v>
      </c>
      <c r="H16" s="212">
        <v>0.46</v>
      </c>
      <c r="I16" s="212">
        <v>0</v>
      </c>
    </row>
    <row r="17" spans="1:9" x14ac:dyDescent="0.35">
      <c r="A17" s="209" t="s">
        <v>114</v>
      </c>
      <c r="B17" s="210">
        <v>255.49</v>
      </c>
      <c r="C17" s="210">
        <v>0.7</v>
      </c>
      <c r="D17" s="210">
        <v>290.5</v>
      </c>
      <c r="E17" s="210">
        <v>0.75</v>
      </c>
      <c r="F17" s="210">
        <v>304.02999999999997</v>
      </c>
      <c r="G17" s="210">
        <v>0.66</v>
      </c>
      <c r="H17" s="210">
        <v>321.41000000000003</v>
      </c>
      <c r="I17" s="210">
        <v>0.69</v>
      </c>
    </row>
    <row r="18" spans="1:9" x14ac:dyDescent="0.35">
      <c r="A18" s="211" t="s">
        <v>205</v>
      </c>
      <c r="B18" s="212">
        <v>20.53</v>
      </c>
      <c r="C18" s="212">
        <v>0.06</v>
      </c>
      <c r="D18" s="212">
        <v>6.92</v>
      </c>
      <c r="E18" s="212">
        <v>0.02</v>
      </c>
      <c r="F18" s="212">
        <v>8.5</v>
      </c>
      <c r="G18" s="212">
        <v>0.02</v>
      </c>
      <c r="H18" s="212">
        <v>12.59</v>
      </c>
      <c r="I18" s="212">
        <v>0.03</v>
      </c>
    </row>
    <row r="19" spans="1:9" x14ac:dyDescent="0.35">
      <c r="A19" s="209" t="s">
        <v>565</v>
      </c>
      <c r="B19" s="210">
        <v>0.42</v>
      </c>
      <c r="C19" s="210">
        <v>0</v>
      </c>
      <c r="D19" s="210">
        <v>0.27</v>
      </c>
      <c r="E19" s="210">
        <v>0</v>
      </c>
      <c r="F19" s="210">
        <v>0.28000000000000003</v>
      </c>
      <c r="G19" s="210">
        <v>0</v>
      </c>
      <c r="H19" s="210">
        <v>0.36</v>
      </c>
      <c r="I19" s="210">
        <v>0</v>
      </c>
    </row>
    <row r="20" spans="1:9" x14ac:dyDescent="0.35">
      <c r="A20" s="211" t="s">
        <v>136</v>
      </c>
      <c r="B20" s="212">
        <v>452.05</v>
      </c>
      <c r="C20" s="212">
        <v>1.24</v>
      </c>
      <c r="D20" s="212">
        <v>566.13</v>
      </c>
      <c r="E20" s="212">
        <v>1.46</v>
      </c>
      <c r="F20" s="212">
        <v>606.14</v>
      </c>
      <c r="G20" s="212">
        <v>1.32</v>
      </c>
      <c r="H20" s="212">
        <v>627.62</v>
      </c>
      <c r="I20" s="212">
        <v>1.34</v>
      </c>
    </row>
    <row r="21" spans="1:9" x14ac:dyDescent="0.35">
      <c r="A21" s="209" t="s">
        <v>206</v>
      </c>
      <c r="B21" s="210">
        <v>76.64</v>
      </c>
      <c r="C21" s="210">
        <v>0.21</v>
      </c>
      <c r="D21" s="210">
        <v>80.16</v>
      </c>
      <c r="E21" s="210">
        <v>0.21</v>
      </c>
      <c r="F21" s="210">
        <v>95.71</v>
      </c>
      <c r="G21" s="210">
        <v>0.21</v>
      </c>
      <c r="H21" s="210">
        <v>92.98</v>
      </c>
      <c r="I21" s="210">
        <v>0.2</v>
      </c>
    </row>
    <row r="22" spans="1:9" x14ac:dyDescent="0.35">
      <c r="A22" s="211" t="s">
        <v>207</v>
      </c>
      <c r="B22" s="212">
        <v>62.33</v>
      </c>
      <c r="C22" s="212">
        <v>0.17</v>
      </c>
      <c r="D22" s="212">
        <v>29.64</v>
      </c>
      <c r="E22" s="212">
        <v>0.08</v>
      </c>
      <c r="F22" s="212">
        <v>41.85</v>
      </c>
      <c r="G22" s="212">
        <v>0.09</v>
      </c>
      <c r="H22" s="212">
        <v>49.09</v>
      </c>
      <c r="I22" s="212">
        <v>0.1</v>
      </c>
    </row>
    <row r="23" spans="1:9" x14ac:dyDescent="0.35">
      <c r="A23" s="209" t="s">
        <v>1040</v>
      </c>
      <c r="B23" s="210">
        <v>2.85</v>
      </c>
      <c r="C23" s="210">
        <v>0.01</v>
      </c>
      <c r="D23" s="210">
        <v>2.73</v>
      </c>
      <c r="E23" s="210">
        <v>0.01</v>
      </c>
      <c r="F23" s="210">
        <v>3.17</v>
      </c>
      <c r="G23" s="210">
        <v>0.01</v>
      </c>
      <c r="H23" s="210">
        <v>3.59</v>
      </c>
      <c r="I23" s="210">
        <v>0.01</v>
      </c>
    </row>
    <row r="24" spans="1:9" x14ac:dyDescent="0.35">
      <c r="A24" s="211" t="s">
        <v>209</v>
      </c>
      <c r="B24" s="212">
        <v>16.38</v>
      </c>
      <c r="C24" s="212">
        <v>0.04</v>
      </c>
      <c r="D24" s="212">
        <v>18.21</v>
      </c>
      <c r="E24" s="212">
        <v>0.05</v>
      </c>
      <c r="F24" s="212">
        <v>23.39</v>
      </c>
      <c r="G24" s="212">
        <v>0.05</v>
      </c>
      <c r="H24" s="212">
        <v>29.18</v>
      </c>
      <c r="I24" s="212">
        <v>0.06</v>
      </c>
    </row>
    <row r="25" spans="1:9" x14ac:dyDescent="0.35">
      <c r="A25" s="209" t="s">
        <v>210</v>
      </c>
      <c r="B25" s="210">
        <v>120.11</v>
      </c>
      <c r="C25" s="210">
        <v>0.33</v>
      </c>
      <c r="D25" s="210">
        <v>135.1</v>
      </c>
      <c r="E25" s="210">
        <v>0.35</v>
      </c>
      <c r="F25" s="210">
        <v>151.30000000000001</v>
      </c>
      <c r="G25" s="210">
        <v>0.33</v>
      </c>
      <c r="H25" s="210">
        <v>162.66</v>
      </c>
      <c r="I25" s="210">
        <v>0.35</v>
      </c>
    </row>
    <row r="26" spans="1:9" x14ac:dyDescent="0.35">
      <c r="A26" s="211" t="s">
        <v>211</v>
      </c>
      <c r="B26" s="212">
        <v>0.87</v>
      </c>
      <c r="C26" s="212">
        <v>0</v>
      </c>
      <c r="D26" s="212">
        <v>1.02</v>
      </c>
      <c r="E26" s="212">
        <v>0</v>
      </c>
      <c r="F26" s="212">
        <v>1.01</v>
      </c>
      <c r="G26" s="212">
        <v>0</v>
      </c>
      <c r="H26" s="212">
        <v>1.07</v>
      </c>
      <c r="I26" s="212">
        <v>0</v>
      </c>
    </row>
    <row r="27" spans="1:9" x14ac:dyDescent="0.35">
      <c r="A27" s="209" t="s">
        <v>212</v>
      </c>
      <c r="B27" s="210">
        <v>145.19</v>
      </c>
      <c r="C27" s="210">
        <v>0.4</v>
      </c>
      <c r="D27" s="210">
        <v>117.4</v>
      </c>
      <c r="E27" s="210">
        <v>0.3</v>
      </c>
      <c r="F27" s="210">
        <v>128.28</v>
      </c>
      <c r="G27" s="210">
        <v>0.28000000000000003</v>
      </c>
      <c r="H27" s="210">
        <v>140.37</v>
      </c>
      <c r="I27" s="210">
        <v>0.3</v>
      </c>
    </row>
    <row r="28" spans="1:9" x14ac:dyDescent="0.35">
      <c r="A28" s="211" t="s">
        <v>117</v>
      </c>
      <c r="B28" s="212">
        <v>135.99</v>
      </c>
      <c r="C28" s="212">
        <v>0.37</v>
      </c>
      <c r="D28" s="212">
        <v>144.63999999999999</v>
      </c>
      <c r="E28" s="212">
        <v>0.37</v>
      </c>
      <c r="F28" s="212">
        <v>135.6</v>
      </c>
      <c r="G28" s="212">
        <v>0.3</v>
      </c>
      <c r="H28" s="212">
        <v>136.76</v>
      </c>
      <c r="I28" s="212">
        <v>0.28999999999999998</v>
      </c>
    </row>
    <row r="29" spans="1:9" x14ac:dyDescent="0.35">
      <c r="A29" s="209" t="s">
        <v>213</v>
      </c>
      <c r="B29" s="210">
        <v>0.56000000000000005</v>
      </c>
      <c r="C29" s="210">
        <v>0</v>
      </c>
      <c r="D29" s="210">
        <v>0.8</v>
      </c>
      <c r="E29" s="210">
        <v>0</v>
      </c>
      <c r="F29" s="210">
        <v>1.0900000000000001</v>
      </c>
      <c r="G29" s="210">
        <v>0</v>
      </c>
      <c r="H29" s="210">
        <v>1.17</v>
      </c>
      <c r="I29" s="210">
        <v>0</v>
      </c>
    </row>
    <row r="30" spans="1:9" x14ac:dyDescent="0.35">
      <c r="A30" s="211" t="s">
        <v>214</v>
      </c>
      <c r="B30" s="212">
        <v>44.37</v>
      </c>
      <c r="C30" s="212">
        <v>0.12</v>
      </c>
      <c r="D30" s="212">
        <v>31.92</v>
      </c>
      <c r="E30" s="212">
        <v>0.08</v>
      </c>
      <c r="F30" s="212">
        <v>28.19</v>
      </c>
      <c r="G30" s="212">
        <v>0.06</v>
      </c>
      <c r="H30" s="212">
        <v>43.97</v>
      </c>
      <c r="I30" s="212">
        <v>0.09</v>
      </c>
    </row>
    <row r="31" spans="1:9" x14ac:dyDescent="0.35">
      <c r="A31" s="209" t="s">
        <v>562</v>
      </c>
      <c r="B31" s="210">
        <v>0.61</v>
      </c>
      <c r="C31" s="210">
        <v>0</v>
      </c>
      <c r="D31" s="210">
        <v>0.5</v>
      </c>
      <c r="E31" s="210">
        <v>0</v>
      </c>
      <c r="F31" s="210">
        <v>0.56000000000000005</v>
      </c>
      <c r="G31" s="210">
        <v>0</v>
      </c>
      <c r="H31" s="210">
        <v>0.53</v>
      </c>
      <c r="I31" s="210">
        <v>0</v>
      </c>
    </row>
    <row r="32" spans="1:9" x14ac:dyDescent="0.35">
      <c r="A32" s="211" t="s">
        <v>215</v>
      </c>
      <c r="B32" s="212">
        <v>0.9</v>
      </c>
      <c r="C32" s="212">
        <v>0</v>
      </c>
      <c r="D32" s="212">
        <v>3.21</v>
      </c>
      <c r="E32" s="212">
        <v>0.01</v>
      </c>
      <c r="F32" s="212">
        <v>1.68</v>
      </c>
      <c r="G32" s="212">
        <v>0</v>
      </c>
      <c r="H32" s="212">
        <v>2.46</v>
      </c>
      <c r="I32" s="212">
        <v>0.01</v>
      </c>
    </row>
    <row r="33" spans="1:9" x14ac:dyDescent="0.35">
      <c r="A33" s="209" t="s">
        <v>216</v>
      </c>
      <c r="B33" s="210">
        <v>184.78</v>
      </c>
      <c r="C33" s="210">
        <v>0.51</v>
      </c>
      <c r="D33" s="210">
        <v>168.64</v>
      </c>
      <c r="E33" s="210">
        <v>0.44</v>
      </c>
      <c r="F33" s="210">
        <v>272.83</v>
      </c>
      <c r="G33" s="210">
        <v>0.6</v>
      </c>
      <c r="H33" s="210">
        <v>134.38999999999999</v>
      </c>
      <c r="I33" s="210">
        <v>0.28999999999999998</v>
      </c>
    </row>
    <row r="34" spans="1:9" ht="41.5" customHeight="1" x14ac:dyDescent="0.35">
      <c r="A34" s="211" t="s">
        <v>217</v>
      </c>
      <c r="B34" s="212">
        <v>29.95</v>
      </c>
      <c r="C34" s="212">
        <v>0.08</v>
      </c>
      <c r="D34" s="212">
        <v>17.43</v>
      </c>
      <c r="E34" s="212">
        <v>0.04</v>
      </c>
      <c r="F34" s="212">
        <v>20.83</v>
      </c>
      <c r="G34" s="212">
        <v>0.05</v>
      </c>
      <c r="H34" s="212">
        <v>24.27</v>
      </c>
      <c r="I34" s="212">
        <v>0.05</v>
      </c>
    </row>
    <row r="35" spans="1:9" x14ac:dyDescent="0.35">
      <c r="A35" s="209" t="s">
        <v>218</v>
      </c>
      <c r="B35" s="210">
        <v>7.41</v>
      </c>
      <c r="C35" s="210">
        <v>0.02</v>
      </c>
      <c r="D35" s="210">
        <v>8.16</v>
      </c>
      <c r="E35" s="210">
        <v>0.02</v>
      </c>
      <c r="F35" s="210">
        <v>10.15</v>
      </c>
      <c r="G35" s="210">
        <v>0.02</v>
      </c>
      <c r="H35" s="210">
        <v>10.5</v>
      </c>
      <c r="I35" s="210">
        <v>0.02</v>
      </c>
    </row>
    <row r="36" spans="1:9" x14ac:dyDescent="0.35">
      <c r="A36" s="211" t="s">
        <v>115</v>
      </c>
      <c r="B36" s="212">
        <v>1552.2</v>
      </c>
      <c r="C36" s="212">
        <v>4.26</v>
      </c>
      <c r="D36" s="212">
        <v>1421.64</v>
      </c>
      <c r="E36" s="212">
        <v>3.67</v>
      </c>
      <c r="F36" s="212">
        <v>2506</v>
      </c>
      <c r="G36" s="212">
        <v>5.47</v>
      </c>
      <c r="H36" s="212">
        <v>1437.41</v>
      </c>
      <c r="I36" s="212">
        <v>3.06</v>
      </c>
    </row>
    <row r="37" spans="1:9" ht="31" x14ac:dyDescent="0.35">
      <c r="A37" s="209" t="s">
        <v>1041</v>
      </c>
      <c r="B37" s="210">
        <v>7.0000000000000007E-2</v>
      </c>
      <c r="C37" s="210">
        <v>0</v>
      </c>
      <c r="D37" s="210">
        <v>0.08</v>
      </c>
      <c r="E37" s="210">
        <v>0</v>
      </c>
      <c r="F37" s="210">
        <v>0.09</v>
      </c>
      <c r="G37" s="210">
        <v>0</v>
      </c>
      <c r="H37" s="210">
        <v>0.11</v>
      </c>
      <c r="I37" s="210">
        <v>0</v>
      </c>
    </row>
    <row r="38" spans="1:9" ht="31" x14ac:dyDescent="0.35">
      <c r="A38" s="211" t="s">
        <v>219</v>
      </c>
      <c r="B38" s="212">
        <v>18.37</v>
      </c>
      <c r="C38" s="212">
        <v>0.05</v>
      </c>
      <c r="D38" s="212">
        <v>17.12</v>
      </c>
      <c r="E38" s="212">
        <v>0.04</v>
      </c>
      <c r="F38" s="212">
        <v>23.05</v>
      </c>
      <c r="G38" s="212">
        <v>0.05</v>
      </c>
      <c r="H38" s="212">
        <v>19.239999999999998</v>
      </c>
      <c r="I38" s="212">
        <v>0.04</v>
      </c>
    </row>
    <row r="39" spans="1:9" x14ac:dyDescent="0.35">
      <c r="A39" s="209" t="s">
        <v>220</v>
      </c>
      <c r="B39" s="210">
        <v>98.04</v>
      </c>
      <c r="C39" s="210">
        <v>0.27</v>
      </c>
      <c r="D39" s="210">
        <v>63.75</v>
      </c>
      <c r="E39" s="210">
        <v>0.16</v>
      </c>
      <c r="F39" s="210">
        <v>67.709999999999994</v>
      </c>
      <c r="G39" s="210">
        <v>0.15</v>
      </c>
      <c r="H39" s="210">
        <v>70.95</v>
      </c>
      <c r="I39" s="210">
        <v>0.15</v>
      </c>
    </row>
    <row r="40" spans="1:9" x14ac:dyDescent="0.35">
      <c r="A40" s="211" t="s">
        <v>221</v>
      </c>
      <c r="B40" s="212">
        <v>8.7200000000000006</v>
      </c>
      <c r="C40" s="212">
        <v>0.02</v>
      </c>
      <c r="D40" s="212">
        <v>12.78</v>
      </c>
      <c r="E40" s="212">
        <v>0.03</v>
      </c>
      <c r="F40" s="212">
        <v>15.46</v>
      </c>
      <c r="G40" s="212">
        <v>0.03</v>
      </c>
      <c r="H40" s="212">
        <v>17.309999999999999</v>
      </c>
      <c r="I40" s="212">
        <v>0.04</v>
      </c>
    </row>
    <row r="41" spans="1:9" x14ac:dyDescent="0.35">
      <c r="A41" s="209" t="s">
        <v>222</v>
      </c>
      <c r="B41" s="210">
        <v>1.92</v>
      </c>
      <c r="C41" s="210">
        <v>0.01</v>
      </c>
      <c r="D41" s="210">
        <v>1.85</v>
      </c>
      <c r="E41" s="210">
        <v>0</v>
      </c>
      <c r="F41" s="210">
        <v>3.27</v>
      </c>
      <c r="G41" s="210">
        <v>0.01</v>
      </c>
      <c r="H41" s="210">
        <v>3.95</v>
      </c>
      <c r="I41" s="210">
        <v>0.01</v>
      </c>
    </row>
    <row r="42" spans="1:9" x14ac:dyDescent="0.35">
      <c r="A42" s="211" t="s">
        <v>223</v>
      </c>
      <c r="B42" s="212">
        <v>14.88</v>
      </c>
      <c r="C42" s="212">
        <v>0.04</v>
      </c>
      <c r="D42" s="212">
        <v>19.47</v>
      </c>
      <c r="E42" s="212">
        <v>0.05</v>
      </c>
      <c r="F42" s="212">
        <v>55.84</v>
      </c>
      <c r="G42" s="212">
        <v>0.12</v>
      </c>
      <c r="H42" s="212">
        <v>159.79</v>
      </c>
      <c r="I42" s="212">
        <v>0.34</v>
      </c>
    </row>
    <row r="43" spans="1:9" x14ac:dyDescent="0.35">
      <c r="A43" s="209" t="s">
        <v>224</v>
      </c>
      <c r="B43" s="210">
        <v>89.2</v>
      </c>
      <c r="C43" s="210">
        <v>0.24</v>
      </c>
      <c r="D43" s="210">
        <v>80.75</v>
      </c>
      <c r="E43" s="210">
        <v>0.21</v>
      </c>
      <c r="F43" s="210">
        <v>57.42</v>
      </c>
      <c r="G43" s="210">
        <v>0.13</v>
      </c>
      <c r="H43" s="210">
        <v>76.45</v>
      </c>
      <c r="I43" s="210">
        <v>0.16</v>
      </c>
    </row>
    <row r="44" spans="1:9" x14ac:dyDescent="0.35">
      <c r="A44" s="211" t="s">
        <v>110</v>
      </c>
      <c r="B44" s="212">
        <v>588.84</v>
      </c>
      <c r="C44" s="212">
        <v>1.62</v>
      </c>
      <c r="D44" s="212">
        <v>726.41</v>
      </c>
      <c r="E44" s="212">
        <v>1.88</v>
      </c>
      <c r="F44" s="212">
        <v>773.03</v>
      </c>
      <c r="G44" s="212">
        <v>1.69</v>
      </c>
      <c r="H44" s="212">
        <v>732.02</v>
      </c>
      <c r="I44" s="212">
        <v>1.56</v>
      </c>
    </row>
    <row r="45" spans="1:9" x14ac:dyDescent="0.35">
      <c r="A45" s="209" t="s">
        <v>225</v>
      </c>
      <c r="B45" s="210">
        <v>0.21</v>
      </c>
      <c r="C45" s="210">
        <v>0</v>
      </c>
      <c r="D45" s="210">
        <v>0.33</v>
      </c>
      <c r="E45" s="210">
        <v>0</v>
      </c>
      <c r="F45" s="210">
        <v>0.36</v>
      </c>
      <c r="G45" s="210">
        <v>0</v>
      </c>
      <c r="H45" s="210">
        <v>0.36</v>
      </c>
      <c r="I45" s="210">
        <v>0</v>
      </c>
    </row>
    <row r="46" spans="1:9" ht="31" x14ac:dyDescent="0.35">
      <c r="A46" s="211" t="s">
        <v>566</v>
      </c>
      <c r="B46" s="212">
        <v>0.3</v>
      </c>
      <c r="C46" s="212">
        <v>0</v>
      </c>
      <c r="D46" s="212">
        <v>0.31</v>
      </c>
      <c r="E46" s="212">
        <v>0</v>
      </c>
      <c r="F46" s="212">
        <v>0.35</v>
      </c>
      <c r="G46" s="212">
        <v>0</v>
      </c>
      <c r="H46" s="212">
        <v>0.4</v>
      </c>
      <c r="I46" s="212">
        <v>0</v>
      </c>
    </row>
    <row r="47" spans="1:9" ht="46.5" x14ac:dyDescent="0.35">
      <c r="A47" s="209" t="s">
        <v>226</v>
      </c>
      <c r="B47" s="210">
        <v>182.04</v>
      </c>
      <c r="C47" s="210">
        <v>0.5</v>
      </c>
      <c r="D47" s="210">
        <v>152.46</v>
      </c>
      <c r="E47" s="210">
        <v>0.39</v>
      </c>
      <c r="F47" s="210">
        <v>148.44</v>
      </c>
      <c r="G47" s="210">
        <v>0.32</v>
      </c>
      <c r="H47" s="210">
        <v>402.06</v>
      </c>
      <c r="I47" s="210">
        <v>0.86</v>
      </c>
    </row>
    <row r="48" spans="1:9" x14ac:dyDescent="0.35">
      <c r="A48" s="211" t="s">
        <v>227</v>
      </c>
      <c r="B48" s="212">
        <v>8.7899999999999991</v>
      </c>
      <c r="C48" s="212">
        <v>0.02</v>
      </c>
      <c r="D48" s="212">
        <v>10.94</v>
      </c>
      <c r="E48" s="212">
        <v>0.03</v>
      </c>
      <c r="F48" s="212">
        <v>12.61</v>
      </c>
      <c r="G48" s="212">
        <v>0.03</v>
      </c>
      <c r="H48" s="212">
        <v>14.4</v>
      </c>
      <c r="I48" s="212">
        <v>0.03</v>
      </c>
    </row>
    <row r="49" spans="1:9" x14ac:dyDescent="0.35">
      <c r="A49" s="209" t="s">
        <v>228</v>
      </c>
      <c r="B49" s="210">
        <v>52.13</v>
      </c>
      <c r="C49" s="210">
        <v>0.14000000000000001</v>
      </c>
      <c r="D49" s="210">
        <v>86.43</v>
      </c>
      <c r="E49" s="210">
        <v>0.22</v>
      </c>
      <c r="F49" s="210">
        <v>97.83</v>
      </c>
      <c r="G49" s="210">
        <v>0.21</v>
      </c>
      <c r="H49" s="210">
        <v>105.87</v>
      </c>
      <c r="I49" s="210">
        <v>0.23</v>
      </c>
    </row>
    <row r="50" spans="1:9" x14ac:dyDescent="0.35">
      <c r="A50" s="211" t="s">
        <v>137</v>
      </c>
      <c r="B50" s="212">
        <v>3770.52</v>
      </c>
      <c r="C50" s="212">
        <v>10.36</v>
      </c>
      <c r="D50" s="212">
        <v>4928.7</v>
      </c>
      <c r="E50" s="212">
        <v>12.73</v>
      </c>
      <c r="F50" s="212">
        <v>7703.41</v>
      </c>
      <c r="G50" s="212">
        <v>16.82</v>
      </c>
      <c r="H50" s="212">
        <v>9916.4599999999991</v>
      </c>
      <c r="I50" s="212">
        <v>21.14</v>
      </c>
    </row>
    <row r="51" spans="1:9" x14ac:dyDescent="0.35">
      <c r="A51" s="209" t="s">
        <v>229</v>
      </c>
      <c r="B51" s="210">
        <v>170.9</v>
      </c>
      <c r="C51" s="210">
        <v>0.47</v>
      </c>
      <c r="D51" s="210">
        <v>175.15</v>
      </c>
      <c r="E51" s="210">
        <v>0.45</v>
      </c>
      <c r="F51" s="210">
        <v>159.76</v>
      </c>
      <c r="G51" s="210">
        <v>0.35</v>
      </c>
      <c r="H51" s="210">
        <v>184.93</v>
      </c>
      <c r="I51" s="210">
        <v>0.39</v>
      </c>
    </row>
    <row r="52" spans="1:9" x14ac:dyDescent="0.35">
      <c r="A52" s="211" t="s">
        <v>230</v>
      </c>
      <c r="B52" s="212">
        <v>0.26</v>
      </c>
      <c r="C52" s="212">
        <v>0</v>
      </c>
      <c r="D52" s="212">
        <v>0.3</v>
      </c>
      <c r="E52" s="212">
        <v>0</v>
      </c>
      <c r="F52" s="212">
        <v>0.31</v>
      </c>
      <c r="G52" s="212">
        <v>0</v>
      </c>
      <c r="H52" s="212">
        <v>0.43</v>
      </c>
      <c r="I52" s="212">
        <v>0</v>
      </c>
    </row>
    <row r="53" spans="1:9" x14ac:dyDescent="0.35">
      <c r="A53" s="209" t="s">
        <v>1042</v>
      </c>
      <c r="B53" s="210">
        <v>61.82</v>
      </c>
      <c r="C53" s="210">
        <v>0.17</v>
      </c>
      <c r="D53" s="210">
        <v>56.99</v>
      </c>
      <c r="E53" s="210">
        <v>0.15</v>
      </c>
      <c r="F53" s="210">
        <v>50.23</v>
      </c>
      <c r="G53" s="210">
        <v>0.11</v>
      </c>
      <c r="H53" s="210">
        <v>37.99</v>
      </c>
      <c r="I53" s="210">
        <v>0.08</v>
      </c>
    </row>
    <row r="54" spans="1:9" ht="46.5" x14ac:dyDescent="0.35">
      <c r="A54" s="211" t="s">
        <v>1043</v>
      </c>
      <c r="B54" s="212">
        <v>1316.74</v>
      </c>
      <c r="C54" s="212">
        <v>3.62</v>
      </c>
      <c r="D54" s="212">
        <v>1001.11</v>
      </c>
      <c r="E54" s="212">
        <v>2.58</v>
      </c>
      <c r="F54" s="212">
        <v>913.07</v>
      </c>
      <c r="G54" s="212">
        <v>1.99</v>
      </c>
      <c r="H54" s="212">
        <v>1028.45</v>
      </c>
      <c r="I54" s="212">
        <v>2.19</v>
      </c>
    </row>
    <row r="55" spans="1:9" x14ac:dyDescent="0.35">
      <c r="A55" s="209" t="s">
        <v>233</v>
      </c>
      <c r="B55" s="210">
        <v>8.23</v>
      </c>
      <c r="C55" s="210">
        <v>0.02</v>
      </c>
      <c r="D55" s="210">
        <v>9.7100000000000009</v>
      </c>
      <c r="E55" s="210">
        <v>0.03</v>
      </c>
      <c r="F55" s="210">
        <v>9.9</v>
      </c>
      <c r="G55" s="210">
        <v>0.02</v>
      </c>
      <c r="H55" s="210">
        <v>10.53</v>
      </c>
      <c r="I55" s="210">
        <v>0.02</v>
      </c>
    </row>
    <row r="56" spans="1:9" x14ac:dyDescent="0.35">
      <c r="A56" s="211" t="s">
        <v>1044</v>
      </c>
      <c r="B56" s="212">
        <v>149.12</v>
      </c>
      <c r="C56" s="212">
        <v>0.41</v>
      </c>
      <c r="D56" s="212">
        <v>164.2</v>
      </c>
      <c r="E56" s="212">
        <v>0.42</v>
      </c>
      <c r="F56" s="212">
        <v>136.37</v>
      </c>
      <c r="G56" s="212">
        <v>0.3</v>
      </c>
      <c r="H56" s="212">
        <v>160.31</v>
      </c>
      <c r="I56" s="212">
        <v>0.34</v>
      </c>
    </row>
    <row r="57" spans="1:9" x14ac:dyDescent="0.35">
      <c r="A57" s="209" t="s">
        <v>235</v>
      </c>
      <c r="B57" s="210">
        <v>30.67</v>
      </c>
      <c r="C57" s="210">
        <v>0.08</v>
      </c>
      <c r="D57" s="210">
        <v>24.17</v>
      </c>
      <c r="E57" s="210">
        <v>0.06</v>
      </c>
      <c r="F57" s="210">
        <v>27.9</v>
      </c>
      <c r="G57" s="210">
        <v>0.06</v>
      </c>
      <c r="H57" s="210">
        <v>30.82</v>
      </c>
      <c r="I57" s="210">
        <v>7.0000000000000007E-2</v>
      </c>
    </row>
    <row r="58" spans="1:9" x14ac:dyDescent="0.35">
      <c r="A58" s="211" t="s">
        <v>379</v>
      </c>
      <c r="B58" s="212">
        <v>41.85</v>
      </c>
      <c r="C58" s="212">
        <v>0.11</v>
      </c>
      <c r="D58" s="212">
        <v>37.49</v>
      </c>
      <c r="E58" s="212">
        <v>0.1</v>
      </c>
      <c r="F58" s="212">
        <v>38.43</v>
      </c>
      <c r="G58" s="212">
        <v>0.08</v>
      </c>
      <c r="H58" s="212">
        <v>42.8</v>
      </c>
      <c r="I58" s="212">
        <v>0.09</v>
      </c>
    </row>
    <row r="59" spans="1:9" x14ac:dyDescent="0.35">
      <c r="A59" s="209" t="s">
        <v>236</v>
      </c>
      <c r="B59" s="210">
        <v>3.44</v>
      </c>
      <c r="C59" s="210">
        <v>0.01</v>
      </c>
      <c r="D59" s="210">
        <v>5.05</v>
      </c>
      <c r="E59" s="210">
        <v>0.01</v>
      </c>
      <c r="F59" s="210">
        <v>5.48</v>
      </c>
      <c r="G59" s="210">
        <v>0.01</v>
      </c>
      <c r="H59" s="210">
        <v>5.43</v>
      </c>
      <c r="I59" s="210">
        <v>0.01</v>
      </c>
    </row>
    <row r="60" spans="1:9" ht="31" x14ac:dyDescent="0.35">
      <c r="A60" s="211" t="s">
        <v>186</v>
      </c>
      <c r="B60" s="212">
        <v>193.24</v>
      </c>
      <c r="C60" s="212">
        <v>0.53</v>
      </c>
      <c r="D60" s="212">
        <v>159.79</v>
      </c>
      <c r="E60" s="212">
        <v>0.41</v>
      </c>
      <c r="F60" s="212">
        <v>145.94</v>
      </c>
      <c r="G60" s="212">
        <v>0.32</v>
      </c>
      <c r="H60" s="212">
        <v>142.15</v>
      </c>
      <c r="I60" s="212">
        <v>0.3</v>
      </c>
    </row>
    <row r="61" spans="1:9" x14ac:dyDescent="0.35">
      <c r="A61" s="209" t="s">
        <v>237</v>
      </c>
      <c r="B61" s="210">
        <v>71.099999999999994</v>
      </c>
      <c r="C61" s="210">
        <v>0.2</v>
      </c>
      <c r="D61" s="210">
        <v>70.55</v>
      </c>
      <c r="E61" s="210">
        <v>0.18</v>
      </c>
      <c r="F61" s="210">
        <v>66.13</v>
      </c>
      <c r="G61" s="210">
        <v>0.14000000000000001</v>
      </c>
      <c r="H61" s="210">
        <v>66.55</v>
      </c>
      <c r="I61" s="210">
        <v>0.14000000000000001</v>
      </c>
    </row>
    <row r="62" spans="1:9" x14ac:dyDescent="0.35">
      <c r="A62" s="211" t="s">
        <v>238</v>
      </c>
      <c r="B62" s="212">
        <v>1.38</v>
      </c>
      <c r="C62" s="212">
        <v>0</v>
      </c>
      <c r="D62" s="212">
        <v>1.54</v>
      </c>
      <c r="E62" s="212">
        <v>0</v>
      </c>
      <c r="F62" s="212">
        <v>1.66</v>
      </c>
      <c r="G62" s="212">
        <v>0</v>
      </c>
      <c r="H62" s="212">
        <v>1.94</v>
      </c>
      <c r="I62" s="212">
        <v>0</v>
      </c>
    </row>
    <row r="63" spans="1:9" x14ac:dyDescent="0.35">
      <c r="A63" s="209" t="s">
        <v>239</v>
      </c>
      <c r="B63" s="210">
        <v>0.13</v>
      </c>
      <c r="C63" s="210">
        <v>0</v>
      </c>
      <c r="D63" s="210">
        <v>0.14000000000000001</v>
      </c>
      <c r="E63" s="210">
        <v>0</v>
      </c>
      <c r="F63" s="210">
        <v>0.18</v>
      </c>
      <c r="G63" s="210">
        <v>0</v>
      </c>
      <c r="H63" s="210">
        <v>0.2</v>
      </c>
      <c r="I63" s="210">
        <v>0</v>
      </c>
    </row>
    <row r="64" spans="1:9" ht="31" x14ac:dyDescent="0.35">
      <c r="A64" s="211" t="s">
        <v>240</v>
      </c>
      <c r="B64" s="212">
        <v>13.98</v>
      </c>
      <c r="C64" s="212">
        <v>0.04</v>
      </c>
      <c r="D64" s="212">
        <v>22.64</v>
      </c>
      <c r="E64" s="212">
        <v>0.06</v>
      </c>
      <c r="F64" s="212">
        <v>22.79</v>
      </c>
      <c r="G64" s="212">
        <v>0.05</v>
      </c>
      <c r="H64" s="212">
        <v>24.29</v>
      </c>
      <c r="I64" s="212">
        <v>0.05</v>
      </c>
    </row>
    <row r="65" spans="1:9" x14ac:dyDescent="0.35">
      <c r="A65" s="209" t="s">
        <v>241</v>
      </c>
      <c r="B65" s="210">
        <v>28.98</v>
      </c>
      <c r="C65" s="210">
        <v>0.08</v>
      </c>
      <c r="D65" s="210">
        <v>35.979999999999997</v>
      </c>
      <c r="E65" s="210">
        <v>0.09</v>
      </c>
      <c r="F65" s="210">
        <v>45.33</v>
      </c>
      <c r="G65" s="210">
        <v>0.1</v>
      </c>
      <c r="H65" s="210">
        <v>45.07</v>
      </c>
      <c r="I65" s="210">
        <v>0.1</v>
      </c>
    </row>
    <row r="66" spans="1:9" x14ac:dyDescent="0.35">
      <c r="A66" s="211" t="s">
        <v>132</v>
      </c>
      <c r="B66" s="212">
        <v>115.92</v>
      </c>
      <c r="C66" s="212">
        <v>0.32</v>
      </c>
      <c r="D66" s="212">
        <v>173.15</v>
      </c>
      <c r="E66" s="212">
        <v>0.45</v>
      </c>
      <c r="F66" s="212">
        <v>227.91</v>
      </c>
      <c r="G66" s="212">
        <v>0.5</v>
      </c>
      <c r="H66" s="212">
        <v>251.25</v>
      </c>
      <c r="I66" s="212">
        <v>0.54</v>
      </c>
    </row>
    <row r="67" spans="1:9" x14ac:dyDescent="0.35">
      <c r="A67" s="209" t="s">
        <v>242</v>
      </c>
      <c r="B67" s="210">
        <v>6.11</v>
      </c>
      <c r="C67" s="210">
        <v>0.02</v>
      </c>
      <c r="D67" s="210">
        <v>8.7200000000000006</v>
      </c>
      <c r="E67" s="210">
        <v>0.02</v>
      </c>
      <c r="F67" s="210">
        <v>9.7100000000000009</v>
      </c>
      <c r="G67" s="210">
        <v>0.02</v>
      </c>
      <c r="H67" s="210">
        <v>9.94</v>
      </c>
      <c r="I67" s="210">
        <v>0.02</v>
      </c>
    </row>
    <row r="68" spans="1:9" ht="31" x14ac:dyDescent="0.35">
      <c r="A68" s="211" t="s">
        <v>243</v>
      </c>
      <c r="B68" s="212">
        <v>0.19</v>
      </c>
      <c r="C68" s="212">
        <v>0</v>
      </c>
      <c r="D68" s="212">
        <v>4</v>
      </c>
      <c r="E68" s="212">
        <v>0.01</v>
      </c>
      <c r="F68" s="212">
        <v>5.63</v>
      </c>
      <c r="G68" s="212">
        <v>0.01</v>
      </c>
      <c r="H68" s="212">
        <v>5.71</v>
      </c>
      <c r="I68" s="212">
        <v>0.01</v>
      </c>
    </row>
    <row r="69" spans="1:9" x14ac:dyDescent="0.35">
      <c r="A69" s="209" t="s">
        <v>244</v>
      </c>
      <c r="B69" s="210">
        <v>2.87</v>
      </c>
      <c r="C69" s="210">
        <v>0.01</v>
      </c>
      <c r="D69" s="210">
        <v>4.09</v>
      </c>
      <c r="E69" s="210">
        <v>0.01</v>
      </c>
      <c r="F69" s="210">
        <v>3.77</v>
      </c>
      <c r="G69" s="210">
        <v>0.01</v>
      </c>
      <c r="H69" s="210">
        <v>3.79</v>
      </c>
      <c r="I69" s="210">
        <v>0.01</v>
      </c>
    </row>
    <row r="70" spans="1:9" x14ac:dyDescent="0.35">
      <c r="A70" s="211" t="s">
        <v>245</v>
      </c>
      <c r="B70" s="212">
        <v>51.77</v>
      </c>
      <c r="C70" s="212">
        <v>0.14000000000000001</v>
      </c>
      <c r="D70" s="212">
        <v>28.34</v>
      </c>
      <c r="E70" s="212">
        <v>7.0000000000000007E-2</v>
      </c>
      <c r="F70" s="212">
        <v>29.75</v>
      </c>
      <c r="G70" s="212">
        <v>0.06</v>
      </c>
      <c r="H70" s="212">
        <v>31.03</v>
      </c>
      <c r="I70" s="212">
        <v>7.0000000000000007E-2</v>
      </c>
    </row>
    <row r="71" spans="1:9" x14ac:dyDescent="0.35">
      <c r="A71" s="209" t="s">
        <v>246</v>
      </c>
      <c r="B71" s="210">
        <v>49.79</v>
      </c>
      <c r="C71" s="210">
        <v>0.14000000000000001</v>
      </c>
      <c r="D71" s="210">
        <v>56.64</v>
      </c>
      <c r="E71" s="210">
        <v>0.15</v>
      </c>
      <c r="F71" s="210">
        <v>67.959999999999994</v>
      </c>
      <c r="G71" s="210">
        <v>0.15</v>
      </c>
      <c r="H71" s="210">
        <v>71.12</v>
      </c>
      <c r="I71" s="210">
        <v>0.15</v>
      </c>
    </row>
    <row r="72" spans="1:9" ht="31" x14ac:dyDescent="0.35">
      <c r="A72" s="211" t="s">
        <v>1045</v>
      </c>
      <c r="B72" s="212">
        <v>5488</v>
      </c>
      <c r="C72" s="212">
        <v>15.07</v>
      </c>
      <c r="D72" s="212">
        <v>5100.8100000000004</v>
      </c>
      <c r="E72" s="212">
        <v>13.17</v>
      </c>
      <c r="F72" s="212">
        <v>5189.1099999999997</v>
      </c>
      <c r="G72" s="212">
        <v>11.33</v>
      </c>
      <c r="H72" s="212">
        <v>5098.41</v>
      </c>
      <c r="I72" s="212">
        <v>10.87</v>
      </c>
    </row>
    <row r="73" spans="1:9" ht="31" x14ac:dyDescent="0.35">
      <c r="A73" s="209" t="s">
        <v>1046</v>
      </c>
      <c r="B73" s="210">
        <v>1.19</v>
      </c>
      <c r="C73" s="210">
        <v>0</v>
      </c>
      <c r="D73" s="210">
        <v>1.18</v>
      </c>
      <c r="E73" s="210">
        <v>0</v>
      </c>
      <c r="F73" s="210">
        <v>1.19</v>
      </c>
      <c r="G73" s="210">
        <v>0</v>
      </c>
      <c r="H73" s="210">
        <v>1.19</v>
      </c>
      <c r="I73" s="210">
        <v>0</v>
      </c>
    </row>
    <row r="74" spans="1:9" x14ac:dyDescent="0.35">
      <c r="A74" s="211" t="s">
        <v>577</v>
      </c>
      <c r="B74" s="212">
        <v>0.05</v>
      </c>
      <c r="C74" s="212">
        <v>0</v>
      </c>
      <c r="D74" s="212">
        <v>0.05</v>
      </c>
      <c r="E74" s="212">
        <v>0</v>
      </c>
      <c r="F74" s="212">
        <v>0.06</v>
      </c>
      <c r="G74" s="212">
        <v>0</v>
      </c>
      <c r="H74" s="212">
        <v>0.06</v>
      </c>
      <c r="I74" s="212">
        <v>0</v>
      </c>
    </row>
    <row r="75" spans="1:9" x14ac:dyDescent="0.35">
      <c r="A75" s="209" t="s">
        <v>247</v>
      </c>
      <c r="B75" s="210">
        <v>2.29</v>
      </c>
      <c r="C75" s="210">
        <v>0.01</v>
      </c>
      <c r="D75" s="210">
        <v>1.62</v>
      </c>
      <c r="E75" s="210">
        <v>0</v>
      </c>
      <c r="F75" s="210">
        <v>1.88</v>
      </c>
      <c r="G75" s="210">
        <v>0</v>
      </c>
      <c r="H75" s="210">
        <v>2.16</v>
      </c>
      <c r="I75" s="210">
        <v>0</v>
      </c>
    </row>
    <row r="76" spans="1:9" x14ac:dyDescent="0.35">
      <c r="A76" s="211" t="s">
        <v>248</v>
      </c>
      <c r="B76" s="212">
        <v>121.71</v>
      </c>
      <c r="C76" s="212">
        <v>0.33</v>
      </c>
      <c r="D76" s="212">
        <v>124.24</v>
      </c>
      <c r="E76" s="212">
        <v>0.32</v>
      </c>
      <c r="F76" s="212">
        <v>124.3</v>
      </c>
      <c r="G76" s="212">
        <v>0.27</v>
      </c>
      <c r="H76" s="212">
        <v>125.98</v>
      </c>
      <c r="I76" s="212">
        <v>0.27</v>
      </c>
    </row>
    <row r="77" spans="1:9" x14ac:dyDescent="0.35">
      <c r="A77" s="209" t="s">
        <v>118</v>
      </c>
      <c r="B77" s="210">
        <v>540.98</v>
      </c>
      <c r="C77" s="210">
        <v>1.49</v>
      </c>
      <c r="D77" s="210">
        <v>552.77</v>
      </c>
      <c r="E77" s="210">
        <v>1.43</v>
      </c>
      <c r="F77" s="210">
        <v>550.05999999999995</v>
      </c>
      <c r="G77" s="210">
        <v>1.2</v>
      </c>
      <c r="H77" s="210">
        <v>538.89</v>
      </c>
      <c r="I77" s="210">
        <v>1.1499999999999999</v>
      </c>
    </row>
    <row r="78" spans="1:9" ht="31" x14ac:dyDescent="0.35">
      <c r="A78" s="211" t="s">
        <v>568</v>
      </c>
      <c r="B78" s="212">
        <v>0.91</v>
      </c>
      <c r="C78" s="212">
        <v>0</v>
      </c>
      <c r="D78" s="212">
        <v>0.96</v>
      </c>
      <c r="E78" s="212">
        <v>0</v>
      </c>
      <c r="F78" s="212">
        <v>0.95</v>
      </c>
      <c r="G78" s="212">
        <v>0</v>
      </c>
      <c r="H78" s="212">
        <v>1.07</v>
      </c>
      <c r="I78" s="212">
        <v>0</v>
      </c>
    </row>
    <row r="79" spans="1:9" ht="31" x14ac:dyDescent="0.35">
      <c r="A79" s="209" t="s">
        <v>583</v>
      </c>
      <c r="B79" s="210">
        <v>0.79</v>
      </c>
      <c r="C79" s="210">
        <v>0</v>
      </c>
      <c r="D79" s="210">
        <v>0.45</v>
      </c>
      <c r="E79" s="210">
        <v>0</v>
      </c>
      <c r="F79" s="210">
        <v>0.52</v>
      </c>
      <c r="G79" s="210">
        <v>0</v>
      </c>
      <c r="H79" s="210">
        <v>0.56000000000000005</v>
      </c>
      <c r="I79" s="210">
        <v>0</v>
      </c>
    </row>
    <row r="80" spans="1:9" x14ac:dyDescent="0.35">
      <c r="A80" s="211" t="s">
        <v>249</v>
      </c>
      <c r="B80" s="212">
        <v>12.19</v>
      </c>
      <c r="C80" s="212">
        <v>0.03</v>
      </c>
      <c r="D80" s="212">
        <v>12.36</v>
      </c>
      <c r="E80" s="212">
        <v>0.03</v>
      </c>
      <c r="F80" s="212">
        <v>17.05</v>
      </c>
      <c r="G80" s="212">
        <v>0.04</v>
      </c>
      <c r="H80" s="212">
        <v>34.590000000000003</v>
      </c>
      <c r="I80" s="212">
        <v>7.0000000000000007E-2</v>
      </c>
    </row>
    <row r="81" spans="1:9" x14ac:dyDescent="0.35">
      <c r="A81" s="209" t="s">
        <v>395</v>
      </c>
      <c r="B81" s="210">
        <v>0.85</v>
      </c>
      <c r="C81" s="210">
        <v>0</v>
      </c>
      <c r="D81" s="210">
        <v>0.96</v>
      </c>
      <c r="E81" s="210">
        <v>0</v>
      </c>
      <c r="F81" s="210">
        <v>1.02</v>
      </c>
      <c r="G81" s="210">
        <v>0</v>
      </c>
      <c r="H81" s="210">
        <v>1.1000000000000001</v>
      </c>
      <c r="I81" s="210">
        <v>0</v>
      </c>
    </row>
    <row r="82" spans="1:9" x14ac:dyDescent="0.35">
      <c r="A82" s="211" t="s">
        <v>251</v>
      </c>
      <c r="B82" s="212">
        <v>29.65</v>
      </c>
      <c r="C82" s="212">
        <v>0.08</v>
      </c>
      <c r="D82" s="212">
        <v>10.59</v>
      </c>
      <c r="E82" s="212">
        <v>0.03</v>
      </c>
      <c r="F82" s="212">
        <v>10.84</v>
      </c>
      <c r="G82" s="212">
        <v>0.02</v>
      </c>
      <c r="H82" s="212">
        <v>11.93</v>
      </c>
      <c r="I82" s="212">
        <v>0.03</v>
      </c>
    </row>
    <row r="83" spans="1:9" x14ac:dyDescent="0.35">
      <c r="A83" s="209" t="s">
        <v>119</v>
      </c>
      <c r="B83" s="210">
        <v>1244.3699999999999</v>
      </c>
      <c r="C83" s="210">
        <v>3.42</v>
      </c>
      <c r="D83" s="210">
        <v>1043.6600000000001</v>
      </c>
      <c r="E83" s="210">
        <v>2.69</v>
      </c>
      <c r="F83" s="210">
        <v>1003.38</v>
      </c>
      <c r="G83" s="210">
        <v>2.19</v>
      </c>
      <c r="H83" s="210">
        <v>1013.69</v>
      </c>
      <c r="I83" s="210">
        <v>2.16</v>
      </c>
    </row>
    <row r="84" spans="1:9" x14ac:dyDescent="0.35">
      <c r="A84" s="211" t="s">
        <v>252</v>
      </c>
      <c r="B84" s="212">
        <v>22.3</v>
      </c>
      <c r="C84" s="212">
        <v>0.06</v>
      </c>
      <c r="D84" s="212">
        <v>22.01</v>
      </c>
      <c r="E84" s="212">
        <v>0.06</v>
      </c>
      <c r="F84" s="212">
        <v>24.58</v>
      </c>
      <c r="G84" s="212">
        <v>0.05</v>
      </c>
      <c r="H84" s="212">
        <v>60.63</v>
      </c>
      <c r="I84" s="212">
        <v>0.13</v>
      </c>
    </row>
    <row r="85" spans="1:9" x14ac:dyDescent="0.35">
      <c r="A85" s="209" t="s">
        <v>547</v>
      </c>
      <c r="B85" s="210">
        <v>0.1</v>
      </c>
      <c r="C85" s="210">
        <v>0</v>
      </c>
      <c r="D85" s="210">
        <v>0.26</v>
      </c>
      <c r="E85" s="210">
        <v>0</v>
      </c>
      <c r="F85" s="210">
        <v>0.28999999999999998</v>
      </c>
      <c r="G85" s="210">
        <v>0</v>
      </c>
      <c r="H85" s="210">
        <v>0.31</v>
      </c>
      <c r="I85" s="210">
        <v>0</v>
      </c>
    </row>
    <row r="86" spans="1:9" x14ac:dyDescent="0.35">
      <c r="A86" s="211" t="s">
        <v>253</v>
      </c>
      <c r="B86" s="212">
        <v>90.56</v>
      </c>
      <c r="C86" s="212">
        <v>0.25</v>
      </c>
      <c r="D86" s="212">
        <v>107.91</v>
      </c>
      <c r="E86" s="212">
        <v>0.28000000000000003</v>
      </c>
      <c r="F86" s="212">
        <v>114.55</v>
      </c>
      <c r="G86" s="212">
        <v>0.25</v>
      </c>
      <c r="H86" s="212">
        <v>111.93</v>
      </c>
      <c r="I86" s="212">
        <v>0.24</v>
      </c>
    </row>
    <row r="87" spans="1:9" x14ac:dyDescent="0.35">
      <c r="A87" s="209" t="s">
        <v>254</v>
      </c>
      <c r="B87" s="210">
        <v>0.16</v>
      </c>
      <c r="C87" s="210">
        <v>0</v>
      </c>
      <c r="D87" s="210">
        <v>0.47</v>
      </c>
      <c r="E87" s="210">
        <v>0</v>
      </c>
      <c r="F87" s="210">
        <v>0.56000000000000005</v>
      </c>
      <c r="G87" s="210">
        <v>0</v>
      </c>
      <c r="H87" s="210">
        <v>0.64</v>
      </c>
      <c r="I87" s="210">
        <v>0</v>
      </c>
    </row>
    <row r="88" spans="1:9" x14ac:dyDescent="0.35">
      <c r="A88" s="211" t="s">
        <v>569</v>
      </c>
      <c r="B88" s="212">
        <v>1.23</v>
      </c>
      <c r="C88" s="212">
        <v>0</v>
      </c>
      <c r="D88" s="212">
        <v>1.64</v>
      </c>
      <c r="E88" s="212">
        <v>0</v>
      </c>
      <c r="F88" s="212">
        <v>1.96</v>
      </c>
      <c r="G88" s="212">
        <v>0</v>
      </c>
      <c r="H88" s="212">
        <v>2.06</v>
      </c>
      <c r="I88" s="212">
        <v>0</v>
      </c>
    </row>
    <row r="89" spans="1:9" x14ac:dyDescent="0.35">
      <c r="A89" s="209" t="s">
        <v>584</v>
      </c>
      <c r="B89" s="210">
        <v>0.06</v>
      </c>
      <c r="C89" s="210">
        <v>0</v>
      </c>
      <c r="D89" s="210">
        <v>7.0000000000000007E-2</v>
      </c>
      <c r="E89" s="210">
        <v>0</v>
      </c>
      <c r="F89" s="210">
        <v>0.08</v>
      </c>
      <c r="G89" s="210">
        <v>0</v>
      </c>
      <c r="H89" s="210">
        <v>0.08</v>
      </c>
      <c r="I89" s="210">
        <v>0</v>
      </c>
    </row>
    <row r="90" spans="1:9" x14ac:dyDescent="0.35">
      <c r="A90" s="211" t="s">
        <v>255</v>
      </c>
      <c r="B90" s="212">
        <v>13.54</v>
      </c>
      <c r="C90" s="212">
        <v>0.04</v>
      </c>
      <c r="D90" s="212">
        <v>138.66999999999999</v>
      </c>
      <c r="E90" s="212">
        <v>0.36</v>
      </c>
      <c r="F90" s="212">
        <v>59.15</v>
      </c>
      <c r="G90" s="212">
        <v>0.13</v>
      </c>
      <c r="H90" s="212">
        <v>41.08</v>
      </c>
      <c r="I90" s="212">
        <v>0.09</v>
      </c>
    </row>
    <row r="91" spans="1:9" x14ac:dyDescent="0.35">
      <c r="A91" s="209" t="s">
        <v>256</v>
      </c>
      <c r="B91" s="210">
        <v>59.29</v>
      </c>
      <c r="C91" s="210">
        <v>0.16</v>
      </c>
      <c r="D91" s="210">
        <v>52.5</v>
      </c>
      <c r="E91" s="210">
        <v>0.14000000000000001</v>
      </c>
      <c r="F91" s="210">
        <v>59.53</v>
      </c>
      <c r="G91" s="210">
        <v>0.13</v>
      </c>
      <c r="H91" s="210">
        <v>235.56</v>
      </c>
      <c r="I91" s="210">
        <v>0.5</v>
      </c>
    </row>
    <row r="92" spans="1:9" ht="31" x14ac:dyDescent="0.35">
      <c r="A92" s="211" t="s">
        <v>257</v>
      </c>
      <c r="B92" s="212">
        <v>1.1499999999999999</v>
      </c>
      <c r="C92" s="212">
        <v>0</v>
      </c>
      <c r="D92" s="212">
        <v>1.39</v>
      </c>
      <c r="E92" s="212">
        <v>0</v>
      </c>
      <c r="F92" s="212">
        <v>1.44</v>
      </c>
      <c r="G92" s="212">
        <v>0</v>
      </c>
      <c r="H92" s="212">
        <v>1.56</v>
      </c>
      <c r="I92" s="212">
        <v>0</v>
      </c>
    </row>
    <row r="93" spans="1:9" x14ac:dyDescent="0.35">
      <c r="A93" s="209" t="s">
        <v>258</v>
      </c>
      <c r="B93" s="210">
        <v>16.32</v>
      </c>
      <c r="C93" s="210">
        <v>0.04</v>
      </c>
      <c r="D93" s="210">
        <v>14.11</v>
      </c>
      <c r="E93" s="210">
        <v>0.04</v>
      </c>
      <c r="F93" s="210">
        <v>15.09</v>
      </c>
      <c r="G93" s="210">
        <v>0.03</v>
      </c>
      <c r="H93" s="210">
        <v>15.08</v>
      </c>
      <c r="I93" s="210">
        <v>0.03</v>
      </c>
    </row>
    <row r="94" spans="1:9" x14ac:dyDescent="0.35">
      <c r="A94" s="211" t="s">
        <v>259</v>
      </c>
      <c r="B94" s="212">
        <v>4.41</v>
      </c>
      <c r="C94" s="212">
        <v>0.01</v>
      </c>
      <c r="D94" s="212">
        <v>6.29</v>
      </c>
      <c r="E94" s="212">
        <v>0.02</v>
      </c>
      <c r="F94" s="212">
        <v>7.08</v>
      </c>
      <c r="G94" s="212">
        <v>0.02</v>
      </c>
      <c r="H94" s="212">
        <v>7.25</v>
      </c>
      <c r="I94" s="212">
        <v>0.02</v>
      </c>
    </row>
    <row r="95" spans="1:9" x14ac:dyDescent="0.35">
      <c r="A95" s="209" t="s">
        <v>260</v>
      </c>
      <c r="B95" s="210">
        <v>12.87</v>
      </c>
      <c r="C95" s="210">
        <v>0.04</v>
      </c>
      <c r="D95" s="210">
        <v>13.13</v>
      </c>
      <c r="E95" s="210">
        <v>0.03</v>
      </c>
      <c r="F95" s="210">
        <v>14.66</v>
      </c>
      <c r="G95" s="210">
        <v>0.03</v>
      </c>
      <c r="H95" s="210">
        <v>16.190000000000001</v>
      </c>
      <c r="I95" s="210">
        <v>0.03</v>
      </c>
    </row>
    <row r="96" spans="1:9" x14ac:dyDescent="0.35">
      <c r="A96" s="211" t="s">
        <v>381</v>
      </c>
      <c r="B96" s="212">
        <v>36.97</v>
      </c>
      <c r="C96" s="212">
        <v>0.1</v>
      </c>
      <c r="D96" s="212">
        <v>45.19</v>
      </c>
      <c r="E96" s="212">
        <v>0.12</v>
      </c>
      <c r="F96" s="212">
        <v>46.31</v>
      </c>
      <c r="G96" s="212">
        <v>0.1</v>
      </c>
      <c r="H96" s="212">
        <v>51.87</v>
      </c>
      <c r="I96" s="212">
        <v>0.11</v>
      </c>
    </row>
    <row r="97" spans="1:9" x14ac:dyDescent="0.35">
      <c r="A97" s="209" t="s">
        <v>187</v>
      </c>
      <c r="B97" s="210">
        <v>94.39</v>
      </c>
      <c r="C97" s="210">
        <v>0.26</v>
      </c>
      <c r="D97" s="210">
        <v>71.11</v>
      </c>
      <c r="E97" s="210">
        <v>0.18</v>
      </c>
      <c r="F97" s="210">
        <v>75.25</v>
      </c>
      <c r="G97" s="210">
        <v>0.16</v>
      </c>
      <c r="H97" s="210">
        <v>71.53</v>
      </c>
      <c r="I97" s="210">
        <v>0.15</v>
      </c>
    </row>
    <row r="98" spans="1:9" x14ac:dyDescent="0.35">
      <c r="A98" s="211" t="s">
        <v>262</v>
      </c>
      <c r="B98" s="212">
        <v>21.47</v>
      </c>
      <c r="C98" s="212">
        <v>0.06</v>
      </c>
      <c r="D98" s="212">
        <v>21.31</v>
      </c>
      <c r="E98" s="212">
        <v>0.06</v>
      </c>
      <c r="F98" s="212">
        <v>21.57</v>
      </c>
      <c r="G98" s="212">
        <v>0.05</v>
      </c>
      <c r="H98" s="212">
        <v>22.6</v>
      </c>
      <c r="I98" s="212">
        <v>0.05</v>
      </c>
    </row>
    <row r="99" spans="1:9" x14ac:dyDescent="0.35">
      <c r="A99" s="209" t="s">
        <v>138</v>
      </c>
      <c r="B99" s="210">
        <v>1310.88</v>
      </c>
      <c r="C99" s="210">
        <v>3.6</v>
      </c>
      <c r="D99" s="210">
        <v>1802.1</v>
      </c>
      <c r="E99" s="210">
        <v>4.6500000000000004</v>
      </c>
      <c r="F99" s="210">
        <v>2057.0700000000002</v>
      </c>
      <c r="G99" s="210">
        <v>4.49</v>
      </c>
      <c r="H99" s="210">
        <v>2362.77</v>
      </c>
      <c r="I99" s="210">
        <v>5.04</v>
      </c>
    </row>
    <row r="100" spans="1:9" x14ac:dyDescent="0.35">
      <c r="A100" s="211" t="s">
        <v>139</v>
      </c>
      <c r="B100" s="212">
        <v>1129.6500000000001</v>
      </c>
      <c r="C100" s="212">
        <v>3.1</v>
      </c>
      <c r="D100" s="212">
        <v>1416.36</v>
      </c>
      <c r="E100" s="212">
        <v>3.66</v>
      </c>
      <c r="F100" s="212">
        <v>2823.32</v>
      </c>
      <c r="G100" s="212">
        <v>6.16</v>
      </c>
      <c r="H100" s="212">
        <v>1989.69</v>
      </c>
      <c r="I100" s="212">
        <v>4.24</v>
      </c>
    </row>
    <row r="101" spans="1:9" ht="31" x14ac:dyDescent="0.35">
      <c r="A101" s="209" t="s">
        <v>1047</v>
      </c>
      <c r="B101" s="210">
        <v>299.25</v>
      </c>
      <c r="C101" s="210">
        <v>0.82</v>
      </c>
      <c r="D101" s="210">
        <v>362.71</v>
      </c>
      <c r="E101" s="210">
        <v>0.94</v>
      </c>
      <c r="F101" s="210">
        <v>431.48</v>
      </c>
      <c r="G101" s="210">
        <v>0.94</v>
      </c>
      <c r="H101" s="210">
        <v>465.58</v>
      </c>
      <c r="I101" s="210">
        <v>0.99</v>
      </c>
    </row>
    <row r="102" spans="1:9" ht="31" x14ac:dyDescent="0.35">
      <c r="A102" s="211" t="s">
        <v>1048</v>
      </c>
      <c r="B102" s="212">
        <v>378.47</v>
      </c>
      <c r="C102" s="212">
        <v>1.04</v>
      </c>
      <c r="D102" s="212">
        <v>493.17</v>
      </c>
      <c r="E102" s="212">
        <v>1.27</v>
      </c>
      <c r="F102" s="212">
        <v>551.44000000000005</v>
      </c>
      <c r="G102" s="212">
        <v>1.2</v>
      </c>
      <c r="H102" s="212">
        <v>610.27</v>
      </c>
      <c r="I102" s="212">
        <v>1.3</v>
      </c>
    </row>
    <row r="103" spans="1:9" x14ac:dyDescent="0.35">
      <c r="A103" s="209" t="s">
        <v>378</v>
      </c>
      <c r="B103" s="210">
        <v>88.5</v>
      </c>
      <c r="C103" s="210">
        <v>0.24</v>
      </c>
      <c r="D103" s="210">
        <v>108.54</v>
      </c>
      <c r="E103" s="210">
        <v>0.28000000000000003</v>
      </c>
      <c r="F103" s="210">
        <v>111.52</v>
      </c>
      <c r="G103" s="210">
        <v>0.24</v>
      </c>
      <c r="H103" s="210">
        <v>121.83</v>
      </c>
      <c r="I103" s="210">
        <v>0.26</v>
      </c>
    </row>
    <row r="104" spans="1:9" x14ac:dyDescent="0.35">
      <c r="A104" s="211" t="s">
        <v>264</v>
      </c>
      <c r="B104" s="212">
        <v>64.040000000000006</v>
      </c>
      <c r="C104" s="212">
        <v>0.18</v>
      </c>
      <c r="D104" s="212">
        <v>73.3</v>
      </c>
      <c r="E104" s="212">
        <v>0.19</v>
      </c>
      <c r="F104" s="212">
        <v>76.17</v>
      </c>
      <c r="G104" s="212">
        <v>0.17</v>
      </c>
      <c r="H104" s="212">
        <v>77.069999999999993</v>
      </c>
      <c r="I104" s="212">
        <v>0.16</v>
      </c>
    </row>
    <row r="105" spans="1:9" ht="46.5" x14ac:dyDescent="0.35">
      <c r="A105" s="209" t="s">
        <v>1049</v>
      </c>
      <c r="B105" s="210">
        <v>268.73</v>
      </c>
      <c r="C105" s="210">
        <v>0.74</v>
      </c>
      <c r="D105" s="210">
        <v>430</v>
      </c>
      <c r="E105" s="210">
        <v>1.1100000000000001</v>
      </c>
      <c r="F105" s="210">
        <v>557.32000000000005</v>
      </c>
      <c r="G105" s="210">
        <v>1.22</v>
      </c>
      <c r="H105" s="210">
        <v>511.48</v>
      </c>
      <c r="I105" s="210">
        <v>1.0900000000000001</v>
      </c>
    </row>
    <row r="106" spans="1:9" x14ac:dyDescent="0.35">
      <c r="A106" s="211" t="s">
        <v>265</v>
      </c>
      <c r="B106" s="212">
        <v>31.87</v>
      </c>
      <c r="C106" s="212">
        <v>0.09</v>
      </c>
      <c r="D106" s="212">
        <v>59.72</v>
      </c>
      <c r="E106" s="212">
        <v>0.15</v>
      </c>
      <c r="F106" s="212">
        <v>68.650000000000006</v>
      </c>
      <c r="G106" s="212">
        <v>0.15</v>
      </c>
      <c r="H106" s="212">
        <v>73.89</v>
      </c>
      <c r="I106" s="212">
        <v>0.16</v>
      </c>
    </row>
    <row r="107" spans="1:9" x14ac:dyDescent="0.35">
      <c r="A107" s="209" t="s">
        <v>122</v>
      </c>
      <c r="B107" s="210">
        <v>438.35</v>
      </c>
      <c r="C107" s="210">
        <v>1.2</v>
      </c>
      <c r="D107" s="210">
        <v>490.09</v>
      </c>
      <c r="E107" s="210">
        <v>1.27</v>
      </c>
      <c r="F107" s="210">
        <v>534.66</v>
      </c>
      <c r="G107" s="210">
        <v>1.17</v>
      </c>
      <c r="H107" s="210">
        <v>506.78</v>
      </c>
      <c r="I107" s="210">
        <v>1.08</v>
      </c>
    </row>
    <row r="108" spans="1:9" x14ac:dyDescent="0.35">
      <c r="A108" s="211" t="s">
        <v>266</v>
      </c>
      <c r="B108" s="212">
        <v>7.52</v>
      </c>
      <c r="C108" s="212">
        <v>0.02</v>
      </c>
      <c r="D108" s="212">
        <v>6.92</v>
      </c>
      <c r="E108" s="212">
        <v>0.02</v>
      </c>
      <c r="F108" s="212">
        <v>7.75</v>
      </c>
      <c r="G108" s="212">
        <v>0.02</v>
      </c>
      <c r="H108" s="212">
        <v>8.6</v>
      </c>
      <c r="I108" s="212">
        <v>0.02</v>
      </c>
    </row>
    <row r="109" spans="1:9" x14ac:dyDescent="0.35">
      <c r="A109" s="209" t="s">
        <v>140</v>
      </c>
      <c r="B109" s="210">
        <v>1217.3</v>
      </c>
      <c r="C109" s="210">
        <v>3.34</v>
      </c>
      <c r="D109" s="210">
        <v>1350.37</v>
      </c>
      <c r="E109" s="210">
        <v>3.49</v>
      </c>
      <c r="F109" s="210">
        <v>1381.29</v>
      </c>
      <c r="G109" s="210">
        <v>3.02</v>
      </c>
      <c r="H109" s="210">
        <v>1326</v>
      </c>
      <c r="I109" s="210">
        <v>2.83</v>
      </c>
    </row>
    <row r="110" spans="1:9" x14ac:dyDescent="0.35">
      <c r="A110" s="211" t="s">
        <v>267</v>
      </c>
      <c r="B110" s="212">
        <v>8.98</v>
      </c>
      <c r="C110" s="212">
        <v>0.02</v>
      </c>
      <c r="D110" s="212">
        <v>12.87</v>
      </c>
      <c r="E110" s="212">
        <v>0.03</v>
      </c>
      <c r="F110" s="212">
        <v>19.73</v>
      </c>
      <c r="G110" s="212">
        <v>0.04</v>
      </c>
      <c r="H110" s="212">
        <v>22.28</v>
      </c>
      <c r="I110" s="212">
        <v>0.05</v>
      </c>
    </row>
    <row r="111" spans="1:9" x14ac:dyDescent="0.35">
      <c r="A111" s="209" t="s">
        <v>127</v>
      </c>
      <c r="B111" s="210">
        <v>348.24</v>
      </c>
      <c r="C111" s="210">
        <v>0.96</v>
      </c>
      <c r="D111" s="210">
        <v>186.52</v>
      </c>
      <c r="E111" s="210">
        <v>0.48</v>
      </c>
      <c r="F111" s="210">
        <v>256.02999999999997</v>
      </c>
      <c r="G111" s="210">
        <v>0.56000000000000005</v>
      </c>
      <c r="H111" s="210">
        <v>302.79000000000002</v>
      </c>
      <c r="I111" s="210">
        <v>0.65</v>
      </c>
    </row>
    <row r="112" spans="1:9" x14ac:dyDescent="0.35">
      <c r="A112" s="211" t="s">
        <v>268</v>
      </c>
      <c r="B112" s="212">
        <v>33.380000000000003</v>
      </c>
      <c r="C112" s="212">
        <v>0.09</v>
      </c>
      <c r="D112" s="212">
        <v>35.9</v>
      </c>
      <c r="E112" s="212">
        <v>0.09</v>
      </c>
      <c r="F112" s="212">
        <v>40.93</v>
      </c>
      <c r="G112" s="212">
        <v>0.09</v>
      </c>
      <c r="H112" s="212">
        <v>44.45</v>
      </c>
      <c r="I112" s="212">
        <v>0.09</v>
      </c>
    </row>
    <row r="113" spans="1:9" x14ac:dyDescent="0.35">
      <c r="A113" s="209" t="s">
        <v>269</v>
      </c>
      <c r="B113" s="210">
        <v>0.04</v>
      </c>
      <c r="C113" s="210">
        <v>0</v>
      </c>
      <c r="D113" s="210">
        <v>0.05</v>
      </c>
      <c r="E113" s="210">
        <v>0</v>
      </c>
      <c r="F113" s="210">
        <v>0.05</v>
      </c>
      <c r="G113" s="210">
        <v>0</v>
      </c>
      <c r="H113" s="210">
        <v>0.06</v>
      </c>
      <c r="I113" s="210">
        <v>0</v>
      </c>
    </row>
    <row r="114" spans="1:9" x14ac:dyDescent="0.35">
      <c r="A114" s="211" t="s">
        <v>271</v>
      </c>
      <c r="B114" s="212">
        <v>34.19</v>
      </c>
      <c r="C114" s="212">
        <v>0.09</v>
      </c>
      <c r="D114" s="212">
        <v>53.25</v>
      </c>
      <c r="E114" s="212">
        <v>0.14000000000000001</v>
      </c>
      <c r="F114" s="212">
        <v>69.760000000000005</v>
      </c>
      <c r="G114" s="212">
        <v>0.15</v>
      </c>
      <c r="H114" s="212">
        <v>71.87</v>
      </c>
      <c r="I114" s="212">
        <v>0.15</v>
      </c>
    </row>
    <row r="115" spans="1:9" x14ac:dyDescent="0.35">
      <c r="A115" s="209" t="s">
        <v>383</v>
      </c>
      <c r="B115" s="210">
        <v>32.74</v>
      </c>
      <c r="C115" s="210">
        <v>0.09</v>
      </c>
      <c r="D115" s="210">
        <v>10.19</v>
      </c>
      <c r="E115" s="210">
        <v>0.03</v>
      </c>
      <c r="F115" s="210">
        <v>11.03</v>
      </c>
      <c r="G115" s="210">
        <v>0.02</v>
      </c>
      <c r="H115" s="210">
        <v>12.07</v>
      </c>
      <c r="I115" s="210">
        <v>0.03</v>
      </c>
    </row>
    <row r="116" spans="1:9" ht="31" x14ac:dyDescent="0.35">
      <c r="A116" s="211" t="s">
        <v>1050</v>
      </c>
      <c r="B116" s="212">
        <v>25.45</v>
      </c>
      <c r="C116" s="212">
        <v>7.0000000000000007E-2</v>
      </c>
      <c r="D116" s="212">
        <v>21.47</v>
      </c>
      <c r="E116" s="212">
        <v>0.06</v>
      </c>
      <c r="F116" s="212">
        <v>45.33</v>
      </c>
      <c r="G116" s="212">
        <v>0.1</v>
      </c>
      <c r="H116" s="212">
        <v>29.35</v>
      </c>
      <c r="I116" s="212">
        <v>0.06</v>
      </c>
    </row>
    <row r="117" spans="1:9" x14ac:dyDescent="0.35">
      <c r="A117" s="209" t="s">
        <v>274</v>
      </c>
      <c r="B117" s="210">
        <v>29.26</v>
      </c>
      <c r="C117" s="210">
        <v>0.08</v>
      </c>
      <c r="D117" s="210">
        <v>14.77</v>
      </c>
      <c r="E117" s="210">
        <v>0.04</v>
      </c>
      <c r="F117" s="210">
        <v>16.68</v>
      </c>
      <c r="G117" s="210">
        <v>0.04</v>
      </c>
      <c r="H117" s="210">
        <v>17.489999999999998</v>
      </c>
      <c r="I117" s="210">
        <v>0.04</v>
      </c>
    </row>
    <row r="118" spans="1:9" x14ac:dyDescent="0.35">
      <c r="A118" s="211" t="s">
        <v>275</v>
      </c>
      <c r="B118" s="212">
        <v>5.12</v>
      </c>
      <c r="C118" s="212">
        <v>0.01</v>
      </c>
      <c r="D118" s="212">
        <v>12.72</v>
      </c>
      <c r="E118" s="212">
        <v>0.03</v>
      </c>
      <c r="F118" s="212">
        <v>15.25</v>
      </c>
      <c r="G118" s="212">
        <v>0.03</v>
      </c>
      <c r="H118" s="212">
        <v>14.1</v>
      </c>
      <c r="I118" s="212">
        <v>0.03</v>
      </c>
    </row>
    <row r="119" spans="1:9" x14ac:dyDescent="0.35">
      <c r="A119" s="209" t="s">
        <v>276</v>
      </c>
      <c r="B119" s="210">
        <v>1.54</v>
      </c>
      <c r="C119" s="210">
        <v>0</v>
      </c>
      <c r="D119" s="210">
        <v>1.32</v>
      </c>
      <c r="E119" s="210">
        <v>0</v>
      </c>
      <c r="F119" s="210">
        <v>1.44</v>
      </c>
      <c r="G119" s="210">
        <v>0</v>
      </c>
      <c r="H119" s="210">
        <v>1.52</v>
      </c>
      <c r="I119" s="210">
        <v>0</v>
      </c>
    </row>
    <row r="120" spans="1:9" x14ac:dyDescent="0.35">
      <c r="A120" s="211" t="s">
        <v>391</v>
      </c>
      <c r="B120" s="212">
        <v>1.1200000000000001</v>
      </c>
      <c r="C120" s="212">
        <v>0</v>
      </c>
      <c r="D120" s="212">
        <v>1.1299999999999999</v>
      </c>
      <c r="E120" s="212">
        <v>0</v>
      </c>
      <c r="F120" s="212">
        <v>1.25</v>
      </c>
      <c r="G120" s="212">
        <v>0</v>
      </c>
      <c r="H120" s="212">
        <v>1.43</v>
      </c>
      <c r="I120" s="212">
        <v>0</v>
      </c>
    </row>
    <row r="121" spans="1:9" ht="31" x14ac:dyDescent="0.35">
      <c r="A121" s="209" t="s">
        <v>1051</v>
      </c>
      <c r="B121" s="210">
        <v>55.01</v>
      </c>
      <c r="C121" s="210">
        <v>0.15</v>
      </c>
      <c r="D121" s="210">
        <v>55.7</v>
      </c>
      <c r="E121" s="210">
        <v>0.14000000000000001</v>
      </c>
      <c r="F121" s="210">
        <v>62.18</v>
      </c>
      <c r="G121" s="210">
        <v>0.14000000000000001</v>
      </c>
      <c r="H121" s="210">
        <v>64.66</v>
      </c>
      <c r="I121" s="210">
        <v>0.14000000000000001</v>
      </c>
    </row>
    <row r="122" spans="1:9" x14ac:dyDescent="0.35">
      <c r="A122" s="211" t="s">
        <v>278</v>
      </c>
      <c r="B122" s="212">
        <v>48.09</v>
      </c>
      <c r="C122" s="212">
        <v>0.13</v>
      </c>
      <c r="D122" s="212">
        <v>24.51</v>
      </c>
      <c r="E122" s="212">
        <v>0.06</v>
      </c>
      <c r="F122" s="212">
        <v>28.68</v>
      </c>
      <c r="G122" s="212">
        <v>0.06</v>
      </c>
      <c r="H122" s="212">
        <v>32.15</v>
      </c>
      <c r="I122" s="212">
        <v>7.0000000000000007E-2</v>
      </c>
    </row>
    <row r="123" spans="1:9" x14ac:dyDescent="0.35">
      <c r="A123" s="209" t="s">
        <v>279</v>
      </c>
      <c r="B123" s="210">
        <v>13.07</v>
      </c>
      <c r="C123" s="210">
        <v>0.04</v>
      </c>
      <c r="D123" s="210">
        <v>10.26</v>
      </c>
      <c r="E123" s="210">
        <v>0.03</v>
      </c>
      <c r="F123" s="210">
        <v>13.43</v>
      </c>
      <c r="G123" s="210">
        <v>0.03</v>
      </c>
      <c r="H123" s="210">
        <v>12.68</v>
      </c>
      <c r="I123" s="210">
        <v>0.03</v>
      </c>
    </row>
    <row r="124" spans="1:9" x14ac:dyDescent="0.35">
      <c r="A124" s="211" t="s">
        <v>1052</v>
      </c>
      <c r="B124" s="212">
        <v>0.56000000000000005</v>
      </c>
      <c r="C124" s="212">
        <v>0</v>
      </c>
      <c r="D124" s="212">
        <v>0.62</v>
      </c>
      <c r="E124" s="212">
        <v>0</v>
      </c>
      <c r="F124" s="212">
        <v>0.62</v>
      </c>
      <c r="G124" s="212">
        <v>0</v>
      </c>
      <c r="H124" s="212">
        <v>0.72</v>
      </c>
      <c r="I124" s="212">
        <v>0</v>
      </c>
    </row>
    <row r="125" spans="1:9" x14ac:dyDescent="0.35">
      <c r="A125" s="209" t="s">
        <v>548</v>
      </c>
      <c r="B125" s="210">
        <v>13.65</v>
      </c>
      <c r="C125" s="210">
        <v>0.04</v>
      </c>
      <c r="D125" s="210">
        <v>10.3</v>
      </c>
      <c r="E125" s="210">
        <v>0.03</v>
      </c>
      <c r="F125" s="210">
        <v>11.14</v>
      </c>
      <c r="G125" s="210">
        <v>0.02</v>
      </c>
      <c r="H125" s="210">
        <v>10.99</v>
      </c>
      <c r="I125" s="210">
        <v>0.02</v>
      </c>
    </row>
    <row r="126" spans="1:9" x14ac:dyDescent="0.35">
      <c r="A126" s="211" t="s">
        <v>281</v>
      </c>
      <c r="B126" s="212">
        <v>43.29</v>
      </c>
      <c r="C126" s="212">
        <v>0.12</v>
      </c>
      <c r="D126" s="212">
        <v>46.93</v>
      </c>
      <c r="E126" s="212">
        <v>0.12</v>
      </c>
      <c r="F126" s="212">
        <v>54.61</v>
      </c>
      <c r="G126" s="212">
        <v>0.12</v>
      </c>
      <c r="H126" s="212">
        <v>37.97</v>
      </c>
      <c r="I126" s="212">
        <v>0.08</v>
      </c>
    </row>
    <row r="127" spans="1:9" x14ac:dyDescent="0.35">
      <c r="A127" s="209" t="s">
        <v>282</v>
      </c>
      <c r="B127" s="210">
        <v>4.6900000000000004</v>
      </c>
      <c r="C127" s="210">
        <v>0.01</v>
      </c>
      <c r="D127" s="210">
        <v>5.31</v>
      </c>
      <c r="E127" s="210">
        <v>0.01</v>
      </c>
      <c r="F127" s="210">
        <v>6.18</v>
      </c>
      <c r="G127" s="210">
        <v>0.01</v>
      </c>
      <c r="H127" s="210">
        <v>6.36</v>
      </c>
      <c r="I127" s="210">
        <v>0.01</v>
      </c>
    </row>
    <row r="128" spans="1:9" x14ac:dyDescent="0.35">
      <c r="A128" s="211" t="s">
        <v>283</v>
      </c>
      <c r="B128" s="212">
        <v>185.22</v>
      </c>
      <c r="C128" s="212">
        <v>0.51</v>
      </c>
      <c r="D128" s="212">
        <v>249.42</v>
      </c>
      <c r="E128" s="212">
        <v>0.64</v>
      </c>
      <c r="F128" s="212">
        <v>331.72</v>
      </c>
      <c r="G128" s="212">
        <v>0.72</v>
      </c>
      <c r="H128" s="212">
        <v>330.7</v>
      </c>
      <c r="I128" s="212">
        <v>0.7</v>
      </c>
    </row>
    <row r="129" spans="1:9" x14ac:dyDescent="0.35">
      <c r="A129" s="209" t="s">
        <v>284</v>
      </c>
      <c r="B129" s="210">
        <v>0.13</v>
      </c>
      <c r="C129" s="210">
        <v>0</v>
      </c>
      <c r="D129" s="210">
        <v>0.31</v>
      </c>
      <c r="E129" s="210">
        <v>0</v>
      </c>
      <c r="F129" s="210">
        <v>0.49</v>
      </c>
      <c r="G129" s="210">
        <v>0</v>
      </c>
      <c r="H129" s="210">
        <v>0.64</v>
      </c>
      <c r="I129" s="210">
        <v>0</v>
      </c>
    </row>
    <row r="130" spans="1:9" x14ac:dyDescent="0.35">
      <c r="A130" s="211" t="s">
        <v>285</v>
      </c>
      <c r="B130" s="212">
        <v>27.41</v>
      </c>
      <c r="C130" s="212">
        <v>0.08</v>
      </c>
      <c r="D130" s="212">
        <v>27.27</v>
      </c>
      <c r="E130" s="212">
        <v>7.0000000000000007E-2</v>
      </c>
      <c r="F130" s="212">
        <v>32.47</v>
      </c>
      <c r="G130" s="212">
        <v>7.0000000000000007E-2</v>
      </c>
      <c r="H130" s="212">
        <v>47.94</v>
      </c>
      <c r="I130" s="212">
        <v>0.1</v>
      </c>
    </row>
    <row r="131" spans="1:9" x14ac:dyDescent="0.35">
      <c r="A131" s="209" t="s">
        <v>286</v>
      </c>
      <c r="B131" s="210">
        <v>1.64</v>
      </c>
      <c r="C131" s="210">
        <v>0</v>
      </c>
      <c r="D131" s="210">
        <v>1.1100000000000001</v>
      </c>
      <c r="E131" s="210">
        <v>0</v>
      </c>
      <c r="F131" s="210">
        <v>1.28</v>
      </c>
      <c r="G131" s="210">
        <v>0</v>
      </c>
      <c r="H131" s="210">
        <v>1.05</v>
      </c>
      <c r="I131" s="210">
        <v>0</v>
      </c>
    </row>
    <row r="132" spans="1:9" x14ac:dyDescent="0.35">
      <c r="A132" s="211" t="s">
        <v>570</v>
      </c>
      <c r="B132" s="212">
        <v>1.49</v>
      </c>
      <c r="C132" s="212">
        <v>0</v>
      </c>
      <c r="D132" s="212">
        <v>1.41</v>
      </c>
      <c r="E132" s="212">
        <v>0</v>
      </c>
      <c r="F132" s="212">
        <v>1.68</v>
      </c>
      <c r="G132" s="212">
        <v>0</v>
      </c>
      <c r="H132" s="212">
        <v>1.91</v>
      </c>
      <c r="I132" s="212">
        <v>0</v>
      </c>
    </row>
    <row r="133" spans="1:9" x14ac:dyDescent="0.35">
      <c r="A133" s="209" t="s">
        <v>287</v>
      </c>
      <c r="B133" s="210">
        <v>5.55</v>
      </c>
      <c r="C133" s="210">
        <v>0.02</v>
      </c>
      <c r="D133" s="210">
        <v>8.82</v>
      </c>
      <c r="E133" s="210">
        <v>0.02</v>
      </c>
      <c r="F133" s="210">
        <v>9.8000000000000007</v>
      </c>
      <c r="G133" s="210">
        <v>0.02</v>
      </c>
      <c r="H133" s="210">
        <v>10.19</v>
      </c>
      <c r="I133" s="210">
        <v>0.02</v>
      </c>
    </row>
    <row r="134" spans="1:9" x14ac:dyDescent="0.35">
      <c r="A134" s="211" t="s">
        <v>288</v>
      </c>
      <c r="B134" s="212">
        <v>1.34</v>
      </c>
      <c r="C134" s="212">
        <v>0</v>
      </c>
      <c r="D134" s="212">
        <v>2.08</v>
      </c>
      <c r="E134" s="212">
        <v>0.01</v>
      </c>
      <c r="F134" s="212">
        <v>2.8</v>
      </c>
      <c r="G134" s="212">
        <v>0.01</v>
      </c>
      <c r="H134" s="212">
        <v>3.06</v>
      </c>
      <c r="I134" s="212">
        <v>0.01</v>
      </c>
    </row>
    <row r="135" spans="1:9" x14ac:dyDescent="0.35">
      <c r="A135" s="209" t="s">
        <v>111</v>
      </c>
      <c r="B135" s="210">
        <v>433.98</v>
      </c>
      <c r="C135" s="210">
        <v>1.19</v>
      </c>
      <c r="D135" s="210">
        <v>489.29</v>
      </c>
      <c r="E135" s="210">
        <v>1.26</v>
      </c>
      <c r="F135" s="210">
        <v>578.04</v>
      </c>
      <c r="G135" s="210">
        <v>1.26</v>
      </c>
      <c r="H135" s="210">
        <v>608.65</v>
      </c>
      <c r="I135" s="210">
        <v>1.3</v>
      </c>
    </row>
    <row r="136" spans="1:9" x14ac:dyDescent="0.35">
      <c r="A136" s="211" t="s">
        <v>1053</v>
      </c>
      <c r="B136" s="212">
        <v>0.05</v>
      </c>
      <c r="C136" s="212">
        <v>0</v>
      </c>
      <c r="D136" s="212">
        <v>0.06</v>
      </c>
      <c r="E136" s="212">
        <v>0</v>
      </c>
      <c r="F136" s="212">
        <v>0.06</v>
      </c>
      <c r="G136" s="212">
        <v>0</v>
      </c>
      <c r="H136" s="212">
        <v>0.06</v>
      </c>
      <c r="I136" s="212">
        <v>0</v>
      </c>
    </row>
    <row r="137" spans="1:9" x14ac:dyDescent="0.35">
      <c r="A137" s="209" t="s">
        <v>289</v>
      </c>
      <c r="B137" s="210">
        <v>34.07</v>
      </c>
      <c r="C137" s="210">
        <v>0.09</v>
      </c>
      <c r="D137" s="210">
        <v>9.6</v>
      </c>
      <c r="E137" s="210">
        <v>0.02</v>
      </c>
      <c r="F137" s="210">
        <v>11.35</v>
      </c>
      <c r="G137" s="210">
        <v>0.02</v>
      </c>
      <c r="H137" s="210">
        <v>9.91</v>
      </c>
      <c r="I137" s="210">
        <v>0.02</v>
      </c>
    </row>
    <row r="138" spans="1:9" x14ac:dyDescent="0.35">
      <c r="A138" s="211" t="s">
        <v>290</v>
      </c>
      <c r="B138" s="212">
        <v>55.54</v>
      </c>
      <c r="C138" s="212">
        <v>0.15</v>
      </c>
      <c r="D138" s="212">
        <v>63.67</v>
      </c>
      <c r="E138" s="212">
        <v>0.16</v>
      </c>
      <c r="F138" s="212">
        <v>62.92</v>
      </c>
      <c r="G138" s="212">
        <v>0.14000000000000001</v>
      </c>
      <c r="H138" s="212">
        <v>68.27</v>
      </c>
      <c r="I138" s="212">
        <v>0.15</v>
      </c>
    </row>
    <row r="139" spans="1:9" x14ac:dyDescent="0.35">
      <c r="A139" s="209" t="s">
        <v>291</v>
      </c>
      <c r="B139" s="210">
        <v>31.74</v>
      </c>
      <c r="C139" s="210">
        <v>0.09</v>
      </c>
      <c r="D139" s="210">
        <v>47.05</v>
      </c>
      <c r="E139" s="210">
        <v>0.12</v>
      </c>
      <c r="F139" s="210">
        <v>65.44</v>
      </c>
      <c r="G139" s="210">
        <v>0.14000000000000001</v>
      </c>
      <c r="H139" s="210">
        <v>68.790000000000006</v>
      </c>
      <c r="I139" s="210">
        <v>0.15</v>
      </c>
    </row>
    <row r="140" spans="1:9" x14ac:dyDescent="0.35">
      <c r="A140" s="211" t="s">
        <v>292</v>
      </c>
      <c r="B140" s="212">
        <v>24.93</v>
      </c>
      <c r="C140" s="212">
        <v>7.0000000000000007E-2</v>
      </c>
      <c r="D140" s="212">
        <v>53</v>
      </c>
      <c r="E140" s="212">
        <v>0.14000000000000001</v>
      </c>
      <c r="F140" s="212">
        <v>48.1</v>
      </c>
      <c r="G140" s="212">
        <v>0.1</v>
      </c>
      <c r="H140" s="212">
        <v>26.2</v>
      </c>
      <c r="I140" s="212">
        <v>0.06</v>
      </c>
    </row>
    <row r="141" spans="1:9" x14ac:dyDescent="0.35">
      <c r="A141" s="209" t="s">
        <v>293</v>
      </c>
      <c r="B141" s="210">
        <v>868.01</v>
      </c>
      <c r="C141" s="210">
        <v>2.38</v>
      </c>
      <c r="D141" s="210">
        <v>554.91999999999996</v>
      </c>
      <c r="E141" s="210">
        <v>1.43</v>
      </c>
      <c r="F141" s="210">
        <v>500.6</v>
      </c>
      <c r="G141" s="210">
        <v>1.0900000000000001</v>
      </c>
      <c r="H141" s="210">
        <v>332.36</v>
      </c>
      <c r="I141" s="210">
        <v>0.71</v>
      </c>
    </row>
    <row r="142" spans="1:9" x14ac:dyDescent="0.35">
      <c r="A142" s="211" t="s">
        <v>294</v>
      </c>
      <c r="B142" s="212">
        <v>5.76</v>
      </c>
      <c r="C142" s="212">
        <v>0.02</v>
      </c>
      <c r="D142" s="212">
        <v>7.61</v>
      </c>
      <c r="E142" s="212">
        <v>0.02</v>
      </c>
      <c r="F142" s="212">
        <v>9.6999999999999993</v>
      </c>
      <c r="G142" s="212">
        <v>0.02</v>
      </c>
      <c r="H142" s="212">
        <v>10.95</v>
      </c>
      <c r="I142" s="212">
        <v>0.02</v>
      </c>
    </row>
    <row r="143" spans="1:9" x14ac:dyDescent="0.35">
      <c r="A143" s="209" t="s">
        <v>295</v>
      </c>
      <c r="B143" s="210">
        <v>23.07</v>
      </c>
      <c r="C143" s="210">
        <v>0.06</v>
      </c>
      <c r="D143" s="210">
        <v>26.53</v>
      </c>
      <c r="E143" s="210">
        <v>7.0000000000000007E-2</v>
      </c>
      <c r="F143" s="210">
        <v>28.01</v>
      </c>
      <c r="G143" s="210">
        <v>0.06</v>
      </c>
      <c r="H143" s="210">
        <v>29.18</v>
      </c>
      <c r="I143" s="210">
        <v>0.06</v>
      </c>
    </row>
    <row r="144" spans="1:9" x14ac:dyDescent="0.35">
      <c r="A144" s="211" t="s">
        <v>123</v>
      </c>
      <c r="B144" s="212">
        <v>219.62</v>
      </c>
      <c r="C144" s="212">
        <v>0.6</v>
      </c>
      <c r="D144" s="212">
        <v>225.79</v>
      </c>
      <c r="E144" s="212">
        <v>0.57999999999999996</v>
      </c>
      <c r="F144" s="212">
        <v>222.91</v>
      </c>
      <c r="G144" s="212">
        <v>0.49</v>
      </c>
      <c r="H144" s="212">
        <v>210.35</v>
      </c>
      <c r="I144" s="212">
        <v>0.45</v>
      </c>
    </row>
    <row r="145" spans="1:9" ht="31" x14ac:dyDescent="0.35">
      <c r="A145" s="209" t="s">
        <v>296</v>
      </c>
      <c r="B145" s="210">
        <v>2.46</v>
      </c>
      <c r="C145" s="210">
        <v>0.01</v>
      </c>
      <c r="D145" s="210">
        <v>5.16</v>
      </c>
      <c r="E145" s="210">
        <v>0.01</v>
      </c>
      <c r="F145" s="210">
        <v>5.35</v>
      </c>
      <c r="G145" s="210">
        <v>0.01</v>
      </c>
      <c r="H145" s="210">
        <v>5.54</v>
      </c>
      <c r="I145" s="210">
        <v>0.01</v>
      </c>
    </row>
    <row r="146" spans="1:9" ht="31" x14ac:dyDescent="0.35">
      <c r="A146" s="211" t="s">
        <v>587</v>
      </c>
      <c r="B146" s="212">
        <v>0.94</v>
      </c>
      <c r="C146" s="212">
        <v>0</v>
      </c>
      <c r="D146" s="212">
        <v>0.88</v>
      </c>
      <c r="E146" s="212">
        <v>0</v>
      </c>
      <c r="F146" s="212">
        <v>0.87</v>
      </c>
      <c r="G146" s="212">
        <v>0</v>
      </c>
      <c r="H146" s="212">
        <v>0.93</v>
      </c>
      <c r="I146" s="212">
        <v>0</v>
      </c>
    </row>
    <row r="147" spans="1:9" x14ac:dyDescent="0.35">
      <c r="A147" s="209" t="s">
        <v>297</v>
      </c>
      <c r="B147" s="210">
        <v>65.37</v>
      </c>
      <c r="C147" s="210">
        <v>0.18</v>
      </c>
      <c r="D147" s="210">
        <v>77.66</v>
      </c>
      <c r="E147" s="210">
        <v>0.2</v>
      </c>
      <c r="F147" s="210">
        <v>86.14</v>
      </c>
      <c r="G147" s="210">
        <v>0.19</v>
      </c>
      <c r="H147" s="210">
        <v>85.27</v>
      </c>
      <c r="I147" s="210">
        <v>0.18</v>
      </c>
    </row>
    <row r="148" spans="1:9" x14ac:dyDescent="0.35">
      <c r="A148" s="211" t="s">
        <v>298</v>
      </c>
      <c r="B148" s="212">
        <v>9</v>
      </c>
      <c r="C148" s="212">
        <v>0.02</v>
      </c>
      <c r="D148" s="212">
        <v>10.9</v>
      </c>
      <c r="E148" s="212">
        <v>0.03</v>
      </c>
      <c r="F148" s="212">
        <v>11.99</v>
      </c>
      <c r="G148" s="212">
        <v>0.03</v>
      </c>
      <c r="H148" s="212">
        <v>12.51</v>
      </c>
      <c r="I148" s="212">
        <v>0.03</v>
      </c>
    </row>
    <row r="149" spans="1:9" x14ac:dyDescent="0.35">
      <c r="A149" s="209" t="s">
        <v>299</v>
      </c>
      <c r="B149" s="210">
        <v>5.72</v>
      </c>
      <c r="C149" s="210">
        <v>0.02</v>
      </c>
      <c r="D149" s="210">
        <v>7.63</v>
      </c>
      <c r="E149" s="210">
        <v>0.02</v>
      </c>
      <c r="F149" s="210">
        <v>6.64</v>
      </c>
      <c r="G149" s="210">
        <v>0.01</v>
      </c>
      <c r="H149" s="210">
        <v>7.03</v>
      </c>
      <c r="I149" s="210">
        <v>0.01</v>
      </c>
    </row>
    <row r="150" spans="1:9" x14ac:dyDescent="0.35">
      <c r="A150" s="211" t="s">
        <v>133</v>
      </c>
      <c r="B150" s="212">
        <v>148.91999999999999</v>
      </c>
      <c r="C150" s="212">
        <v>0.41</v>
      </c>
      <c r="D150" s="212">
        <v>187.9</v>
      </c>
      <c r="E150" s="212">
        <v>0.49</v>
      </c>
      <c r="F150" s="212">
        <v>193.79</v>
      </c>
      <c r="G150" s="212">
        <v>0.42</v>
      </c>
      <c r="H150" s="212">
        <v>207.09</v>
      </c>
      <c r="I150" s="212">
        <v>0.44</v>
      </c>
    </row>
    <row r="151" spans="1:9" x14ac:dyDescent="0.35">
      <c r="A151" s="209" t="s">
        <v>374</v>
      </c>
      <c r="B151" s="210">
        <v>158.91999999999999</v>
      </c>
      <c r="C151" s="210">
        <v>0.44</v>
      </c>
      <c r="D151" s="210">
        <v>96.07</v>
      </c>
      <c r="E151" s="210">
        <v>0.25</v>
      </c>
      <c r="F151" s="210">
        <v>105.31</v>
      </c>
      <c r="G151" s="210">
        <v>0.23</v>
      </c>
      <c r="H151" s="210">
        <v>99.72</v>
      </c>
      <c r="I151" s="210">
        <v>0.21</v>
      </c>
    </row>
    <row r="152" spans="1:9" x14ac:dyDescent="0.35">
      <c r="A152" s="211" t="s">
        <v>300</v>
      </c>
      <c r="B152" s="212">
        <v>64.47</v>
      </c>
      <c r="C152" s="212">
        <v>0.18</v>
      </c>
      <c r="D152" s="212">
        <v>69.900000000000006</v>
      </c>
      <c r="E152" s="212">
        <v>0.18</v>
      </c>
      <c r="F152" s="212">
        <v>70.650000000000006</v>
      </c>
      <c r="G152" s="212">
        <v>0.15</v>
      </c>
      <c r="H152" s="212">
        <v>70.02</v>
      </c>
      <c r="I152" s="212">
        <v>0.15</v>
      </c>
    </row>
    <row r="153" spans="1:9" x14ac:dyDescent="0.35">
      <c r="A153" s="209" t="s">
        <v>301</v>
      </c>
      <c r="B153" s="210">
        <v>35.299999999999997</v>
      </c>
      <c r="C153" s="210">
        <v>0.1</v>
      </c>
      <c r="D153" s="210">
        <v>53.35</v>
      </c>
      <c r="E153" s="210">
        <v>0.14000000000000001</v>
      </c>
      <c r="F153" s="210">
        <v>68</v>
      </c>
      <c r="G153" s="210">
        <v>0.15</v>
      </c>
      <c r="H153" s="210">
        <v>76.319999999999993</v>
      </c>
      <c r="I153" s="210">
        <v>0.16</v>
      </c>
    </row>
    <row r="154" spans="1:9" x14ac:dyDescent="0.35">
      <c r="A154" s="211" t="s">
        <v>302</v>
      </c>
      <c r="B154" s="212">
        <v>161.97</v>
      </c>
      <c r="C154" s="212">
        <v>0.44</v>
      </c>
      <c r="D154" s="212">
        <v>217.61</v>
      </c>
      <c r="E154" s="212">
        <v>0.56000000000000005</v>
      </c>
      <c r="F154" s="212">
        <v>278.24</v>
      </c>
      <c r="G154" s="212">
        <v>0.61</v>
      </c>
      <c r="H154" s="212">
        <v>309.3</v>
      </c>
      <c r="I154" s="212">
        <v>0.66</v>
      </c>
    </row>
    <row r="155" spans="1:9" ht="31" x14ac:dyDescent="0.35">
      <c r="A155" s="209" t="s">
        <v>1054</v>
      </c>
      <c r="B155" s="210">
        <v>0.09</v>
      </c>
      <c r="C155" s="210">
        <v>0</v>
      </c>
      <c r="D155" s="210">
        <v>0.12</v>
      </c>
      <c r="E155" s="210">
        <v>0</v>
      </c>
      <c r="F155" s="210">
        <v>0.15</v>
      </c>
      <c r="G155" s="210">
        <v>0</v>
      </c>
      <c r="H155" s="210">
        <v>0.16</v>
      </c>
      <c r="I155" s="210">
        <v>0</v>
      </c>
    </row>
    <row r="156" spans="1:9" x14ac:dyDescent="0.35">
      <c r="A156" s="211" t="s">
        <v>303</v>
      </c>
      <c r="B156" s="212">
        <v>6.25</v>
      </c>
      <c r="C156" s="212">
        <v>0.02</v>
      </c>
      <c r="D156" s="212">
        <v>8.11</v>
      </c>
      <c r="E156" s="212">
        <v>0.02</v>
      </c>
      <c r="F156" s="212">
        <v>9.2200000000000006</v>
      </c>
      <c r="G156" s="212">
        <v>0.02</v>
      </c>
      <c r="H156" s="212">
        <v>12.2</v>
      </c>
      <c r="I156" s="212">
        <v>0.03</v>
      </c>
    </row>
    <row r="157" spans="1:9" ht="31" x14ac:dyDescent="0.35">
      <c r="A157" s="209" t="s">
        <v>304</v>
      </c>
      <c r="B157" s="210">
        <v>27.17</v>
      </c>
      <c r="C157" s="210">
        <v>7.0000000000000007E-2</v>
      </c>
      <c r="D157" s="210">
        <v>40.869999999999997</v>
      </c>
      <c r="E157" s="210">
        <v>0.11</v>
      </c>
      <c r="F157" s="210">
        <v>39.549999999999997</v>
      </c>
      <c r="G157" s="210">
        <v>0.09</v>
      </c>
      <c r="H157" s="210">
        <v>38.020000000000003</v>
      </c>
      <c r="I157" s="210">
        <v>0.08</v>
      </c>
    </row>
    <row r="158" spans="1:9" x14ac:dyDescent="0.35">
      <c r="A158" s="211" t="s">
        <v>305</v>
      </c>
      <c r="B158" s="212">
        <v>58.58</v>
      </c>
      <c r="C158" s="212">
        <v>0.16</v>
      </c>
      <c r="D158" s="212">
        <v>50.44</v>
      </c>
      <c r="E158" s="212">
        <v>0.13</v>
      </c>
      <c r="F158" s="212">
        <v>44.61</v>
      </c>
      <c r="G158" s="212">
        <v>0.1</v>
      </c>
      <c r="H158" s="212">
        <v>35.46</v>
      </c>
      <c r="I158" s="212">
        <v>0.08</v>
      </c>
    </row>
    <row r="159" spans="1:9" x14ac:dyDescent="0.35">
      <c r="A159" s="209" t="s">
        <v>306</v>
      </c>
      <c r="B159" s="210">
        <v>57.32</v>
      </c>
      <c r="C159" s="210">
        <v>0.16</v>
      </c>
      <c r="D159" s="210">
        <v>70.540000000000006</v>
      </c>
      <c r="E159" s="210">
        <v>0.18</v>
      </c>
      <c r="F159" s="210">
        <v>65.05</v>
      </c>
      <c r="G159" s="210">
        <v>0.14000000000000001</v>
      </c>
      <c r="H159" s="210">
        <v>66.459999999999994</v>
      </c>
      <c r="I159" s="210">
        <v>0.14000000000000001</v>
      </c>
    </row>
    <row r="160" spans="1:9" x14ac:dyDescent="0.35">
      <c r="A160" s="211" t="s">
        <v>307</v>
      </c>
      <c r="B160" s="212">
        <v>82.63</v>
      </c>
      <c r="C160" s="212">
        <v>0.23</v>
      </c>
      <c r="D160" s="212">
        <v>124.9</v>
      </c>
      <c r="E160" s="212">
        <v>0.32</v>
      </c>
      <c r="F160" s="212">
        <v>135.32</v>
      </c>
      <c r="G160" s="212">
        <v>0.3</v>
      </c>
      <c r="H160" s="212">
        <v>143.41999999999999</v>
      </c>
      <c r="I160" s="212">
        <v>0.31</v>
      </c>
    </row>
    <row r="161" spans="1:9" x14ac:dyDescent="0.35">
      <c r="A161" s="209" t="s">
        <v>188</v>
      </c>
      <c r="B161" s="210">
        <v>464.95</v>
      </c>
      <c r="C161" s="210">
        <v>1.28</v>
      </c>
      <c r="D161" s="210">
        <v>409.61</v>
      </c>
      <c r="E161" s="210">
        <v>1.06</v>
      </c>
      <c r="F161" s="210">
        <v>428.84</v>
      </c>
      <c r="G161" s="210">
        <v>0.94</v>
      </c>
      <c r="H161" s="210">
        <v>437.35</v>
      </c>
      <c r="I161" s="210">
        <v>0.93</v>
      </c>
    </row>
    <row r="162" spans="1:9" x14ac:dyDescent="0.35">
      <c r="A162" s="211" t="s">
        <v>308</v>
      </c>
      <c r="B162" s="212">
        <v>50.38</v>
      </c>
      <c r="C162" s="212">
        <v>0.14000000000000001</v>
      </c>
      <c r="D162" s="212">
        <v>75.69</v>
      </c>
      <c r="E162" s="212">
        <v>0.2</v>
      </c>
      <c r="F162" s="212">
        <v>79.319999999999993</v>
      </c>
      <c r="G162" s="212">
        <v>0.17</v>
      </c>
      <c r="H162" s="212">
        <v>70.459999999999994</v>
      </c>
      <c r="I162" s="212">
        <v>0.15</v>
      </c>
    </row>
    <row r="163" spans="1:9" x14ac:dyDescent="0.35">
      <c r="A163" s="209" t="s">
        <v>572</v>
      </c>
      <c r="B163" s="210">
        <v>2.93</v>
      </c>
      <c r="C163" s="210">
        <v>0.01</v>
      </c>
      <c r="D163" s="210">
        <v>3.09</v>
      </c>
      <c r="E163" s="210">
        <v>0.01</v>
      </c>
      <c r="F163" s="210">
        <v>3.21</v>
      </c>
      <c r="G163" s="210">
        <v>0.01</v>
      </c>
      <c r="H163" s="210">
        <v>3.15</v>
      </c>
      <c r="I163" s="210">
        <v>0.01</v>
      </c>
    </row>
    <row r="164" spans="1:9" x14ac:dyDescent="0.35">
      <c r="A164" s="211" t="s">
        <v>309</v>
      </c>
      <c r="B164" s="212">
        <v>20.79</v>
      </c>
      <c r="C164" s="212">
        <v>0.06</v>
      </c>
      <c r="D164" s="212">
        <v>44.39</v>
      </c>
      <c r="E164" s="212">
        <v>0.11</v>
      </c>
      <c r="F164" s="212">
        <v>61.39</v>
      </c>
      <c r="G164" s="212">
        <v>0.13</v>
      </c>
      <c r="H164" s="212">
        <v>83.15</v>
      </c>
      <c r="I164" s="212">
        <v>0.18</v>
      </c>
    </row>
    <row r="165" spans="1:9" x14ac:dyDescent="0.35">
      <c r="A165" s="209" t="s">
        <v>579</v>
      </c>
      <c r="B165" s="210">
        <v>1.29</v>
      </c>
      <c r="C165" s="210">
        <v>0</v>
      </c>
      <c r="D165" s="210">
        <v>2.0499999999999998</v>
      </c>
      <c r="E165" s="210">
        <v>0.01</v>
      </c>
      <c r="F165" s="210">
        <v>2.15</v>
      </c>
      <c r="G165" s="210">
        <v>0</v>
      </c>
      <c r="H165" s="210">
        <v>2.25</v>
      </c>
      <c r="I165" s="210">
        <v>0</v>
      </c>
    </row>
    <row r="166" spans="1:9" x14ac:dyDescent="0.35">
      <c r="A166" s="211" t="s">
        <v>189</v>
      </c>
      <c r="B166" s="212">
        <v>223.51</v>
      </c>
      <c r="C166" s="212">
        <v>0.61</v>
      </c>
      <c r="D166" s="212">
        <v>124.13</v>
      </c>
      <c r="E166" s="212">
        <v>0.32</v>
      </c>
      <c r="F166" s="212">
        <v>134.5</v>
      </c>
      <c r="G166" s="212">
        <v>0.28999999999999998</v>
      </c>
      <c r="H166" s="212">
        <v>132.32</v>
      </c>
      <c r="I166" s="212">
        <v>0.28000000000000003</v>
      </c>
    </row>
    <row r="167" spans="1:9" ht="33" customHeight="1" x14ac:dyDescent="0.35">
      <c r="A167" s="209" t="s">
        <v>501</v>
      </c>
      <c r="B167" s="210">
        <v>3361.43</v>
      </c>
      <c r="C167" s="210">
        <v>9.23</v>
      </c>
      <c r="D167" s="210">
        <v>2551.0300000000002</v>
      </c>
      <c r="E167" s="210">
        <v>6.59</v>
      </c>
      <c r="F167" s="210">
        <v>2521.4299999999998</v>
      </c>
      <c r="G167" s="210">
        <v>5.5</v>
      </c>
      <c r="H167" s="210">
        <v>2562.1799999999998</v>
      </c>
      <c r="I167" s="210">
        <v>5.46</v>
      </c>
    </row>
    <row r="168" spans="1:9" x14ac:dyDescent="0.35">
      <c r="A168" s="211" t="s">
        <v>310</v>
      </c>
      <c r="B168" s="212">
        <v>2.79</v>
      </c>
      <c r="C168" s="212">
        <v>0.01</v>
      </c>
      <c r="D168" s="212">
        <v>3.38</v>
      </c>
      <c r="E168" s="212">
        <v>0.01</v>
      </c>
      <c r="F168" s="212">
        <v>4</v>
      </c>
      <c r="G168" s="212">
        <v>0.01</v>
      </c>
      <c r="H168" s="212">
        <v>4.41</v>
      </c>
      <c r="I168" s="212">
        <v>0.01</v>
      </c>
    </row>
    <row r="169" spans="1:9" ht="31" x14ac:dyDescent="0.35">
      <c r="A169" s="209" t="s">
        <v>399</v>
      </c>
      <c r="B169" s="210">
        <v>0.09</v>
      </c>
      <c r="C169" s="210">
        <v>0</v>
      </c>
      <c r="D169" s="210">
        <v>0.16</v>
      </c>
      <c r="E169" s="210">
        <v>0</v>
      </c>
      <c r="F169" s="210">
        <v>0.17</v>
      </c>
      <c r="G169" s="210">
        <v>0</v>
      </c>
      <c r="H169" s="210">
        <v>0.17</v>
      </c>
      <c r="I169" s="210">
        <v>0</v>
      </c>
    </row>
    <row r="170" spans="1:9" x14ac:dyDescent="0.35">
      <c r="A170" s="211" t="s">
        <v>543</v>
      </c>
      <c r="B170" s="212">
        <v>0.27</v>
      </c>
      <c r="C170" s="212">
        <v>0</v>
      </c>
      <c r="D170" s="212">
        <v>0.4</v>
      </c>
      <c r="E170" s="212">
        <v>0</v>
      </c>
      <c r="F170" s="212">
        <v>0.47</v>
      </c>
      <c r="G170" s="212">
        <v>0</v>
      </c>
      <c r="H170" s="212">
        <v>0.53</v>
      </c>
      <c r="I170" s="212">
        <v>0</v>
      </c>
    </row>
    <row r="171" spans="1:9" ht="46.5" x14ac:dyDescent="0.35">
      <c r="A171" s="209" t="s">
        <v>1055</v>
      </c>
      <c r="B171" s="210">
        <v>0.14000000000000001</v>
      </c>
      <c r="C171" s="210">
        <v>0</v>
      </c>
      <c r="D171" s="210">
        <v>0.22</v>
      </c>
      <c r="E171" s="210">
        <v>0</v>
      </c>
      <c r="F171" s="210">
        <v>0.26</v>
      </c>
      <c r="G171" s="210">
        <v>0</v>
      </c>
      <c r="H171" s="210">
        <v>0.28000000000000003</v>
      </c>
      <c r="I171" s="210">
        <v>0</v>
      </c>
    </row>
    <row r="172" spans="1:9" x14ac:dyDescent="0.35">
      <c r="A172" s="211" t="s">
        <v>311</v>
      </c>
      <c r="B172" s="212">
        <v>0.28000000000000003</v>
      </c>
      <c r="C172" s="212">
        <v>0</v>
      </c>
      <c r="D172" s="212">
        <v>0.32</v>
      </c>
      <c r="E172" s="212">
        <v>0</v>
      </c>
      <c r="F172" s="212">
        <v>0.3</v>
      </c>
      <c r="G172" s="212">
        <v>0</v>
      </c>
      <c r="H172" s="212">
        <v>0.33</v>
      </c>
      <c r="I172" s="212">
        <v>0</v>
      </c>
    </row>
    <row r="173" spans="1:9" ht="31" x14ac:dyDescent="0.35">
      <c r="A173" s="209" t="s">
        <v>555</v>
      </c>
      <c r="B173" s="210">
        <v>0.09</v>
      </c>
      <c r="C173" s="210">
        <v>0</v>
      </c>
      <c r="D173" s="210">
        <v>0.2</v>
      </c>
      <c r="E173" s="210">
        <v>0</v>
      </c>
      <c r="F173" s="210">
        <v>0.16</v>
      </c>
      <c r="G173" s="210">
        <v>0</v>
      </c>
      <c r="H173" s="210">
        <v>0.16</v>
      </c>
      <c r="I173" s="210">
        <v>0</v>
      </c>
    </row>
    <row r="174" spans="1:9" x14ac:dyDescent="0.35">
      <c r="A174" s="211" t="s">
        <v>129</v>
      </c>
      <c r="B174" s="212">
        <v>204.1</v>
      </c>
      <c r="C174" s="212">
        <v>0.56000000000000005</v>
      </c>
      <c r="D174" s="212">
        <v>303.02999999999997</v>
      </c>
      <c r="E174" s="212">
        <v>0.78</v>
      </c>
      <c r="F174" s="212">
        <v>369.88</v>
      </c>
      <c r="G174" s="212">
        <v>0.81</v>
      </c>
      <c r="H174" s="212">
        <v>424.64</v>
      </c>
      <c r="I174" s="212">
        <v>0.91</v>
      </c>
    </row>
    <row r="175" spans="1:9" x14ac:dyDescent="0.35">
      <c r="A175" s="209" t="s">
        <v>313</v>
      </c>
      <c r="B175" s="210">
        <v>7.46</v>
      </c>
      <c r="C175" s="210">
        <v>0.02</v>
      </c>
      <c r="D175" s="210">
        <v>10.86</v>
      </c>
      <c r="E175" s="210">
        <v>0.03</v>
      </c>
      <c r="F175" s="210">
        <v>12.63</v>
      </c>
      <c r="G175" s="210">
        <v>0.03</v>
      </c>
      <c r="H175" s="210">
        <v>13.62</v>
      </c>
      <c r="I175" s="210">
        <v>0.03</v>
      </c>
    </row>
    <row r="176" spans="1:9" ht="31" x14ac:dyDescent="0.35">
      <c r="A176" s="211" t="s">
        <v>314</v>
      </c>
      <c r="B176" s="212">
        <v>78.22</v>
      </c>
      <c r="C176" s="212">
        <v>0.21</v>
      </c>
      <c r="D176" s="212">
        <v>55.9</v>
      </c>
      <c r="E176" s="212">
        <v>0.14000000000000001</v>
      </c>
      <c r="F176" s="212">
        <v>38.659999999999997</v>
      </c>
      <c r="G176" s="212">
        <v>0.08</v>
      </c>
      <c r="H176" s="212">
        <v>62.21</v>
      </c>
      <c r="I176" s="212">
        <v>0.13</v>
      </c>
    </row>
    <row r="177" spans="1:9" x14ac:dyDescent="0.35">
      <c r="A177" s="209" t="s">
        <v>315</v>
      </c>
      <c r="B177" s="210">
        <v>0.33</v>
      </c>
      <c r="C177" s="210">
        <v>0</v>
      </c>
      <c r="D177" s="210">
        <v>0.49</v>
      </c>
      <c r="E177" s="210">
        <v>0</v>
      </c>
      <c r="F177" s="210">
        <v>0.62</v>
      </c>
      <c r="G177" s="210">
        <v>0</v>
      </c>
      <c r="H177" s="210">
        <v>0.72</v>
      </c>
      <c r="I177" s="210">
        <v>0</v>
      </c>
    </row>
    <row r="178" spans="1:9" x14ac:dyDescent="0.35">
      <c r="A178" s="211" t="s">
        <v>316</v>
      </c>
      <c r="B178" s="212">
        <v>7.68</v>
      </c>
      <c r="C178" s="212">
        <v>0.02</v>
      </c>
      <c r="D178" s="212">
        <v>4.72</v>
      </c>
      <c r="E178" s="212">
        <v>0.01</v>
      </c>
      <c r="F178" s="212">
        <v>4.34</v>
      </c>
      <c r="G178" s="212">
        <v>0.01</v>
      </c>
      <c r="H178" s="212">
        <v>7.83</v>
      </c>
      <c r="I178" s="212">
        <v>0.02</v>
      </c>
    </row>
    <row r="179" spans="1:9" x14ac:dyDescent="0.35">
      <c r="A179" s="209" t="s">
        <v>317</v>
      </c>
      <c r="B179" s="210">
        <v>17.989999999999998</v>
      </c>
      <c r="C179" s="210">
        <v>0.05</v>
      </c>
      <c r="D179" s="210">
        <v>28.78</v>
      </c>
      <c r="E179" s="210">
        <v>7.0000000000000007E-2</v>
      </c>
      <c r="F179" s="210">
        <v>39.42</v>
      </c>
      <c r="G179" s="210">
        <v>0.09</v>
      </c>
      <c r="H179" s="210">
        <v>42.89</v>
      </c>
      <c r="I179" s="210">
        <v>0.09</v>
      </c>
    </row>
    <row r="180" spans="1:9" x14ac:dyDescent="0.35">
      <c r="A180" s="211" t="s">
        <v>376</v>
      </c>
      <c r="B180" s="212">
        <v>70.7</v>
      </c>
      <c r="C180" s="212">
        <v>0.19</v>
      </c>
      <c r="D180" s="212">
        <v>49.87</v>
      </c>
      <c r="E180" s="212">
        <v>0.13</v>
      </c>
      <c r="F180" s="212">
        <v>48.66</v>
      </c>
      <c r="G180" s="212">
        <v>0.11</v>
      </c>
      <c r="H180" s="212">
        <v>48.73</v>
      </c>
      <c r="I180" s="212">
        <v>0.1</v>
      </c>
    </row>
    <row r="181" spans="1:9" x14ac:dyDescent="0.35">
      <c r="A181" s="209" t="s">
        <v>319</v>
      </c>
      <c r="B181" s="210">
        <v>19.13</v>
      </c>
      <c r="C181" s="210">
        <v>0.05</v>
      </c>
      <c r="D181" s="210">
        <v>20.72</v>
      </c>
      <c r="E181" s="210">
        <v>0.05</v>
      </c>
      <c r="F181" s="210">
        <v>22.21</v>
      </c>
      <c r="G181" s="210">
        <v>0.05</v>
      </c>
      <c r="H181" s="210">
        <v>23.12</v>
      </c>
      <c r="I181" s="210">
        <v>0.05</v>
      </c>
    </row>
    <row r="182" spans="1:9" ht="31" x14ac:dyDescent="0.35">
      <c r="A182" s="211" t="s">
        <v>320</v>
      </c>
      <c r="B182" s="212">
        <v>5.89</v>
      </c>
      <c r="C182" s="212">
        <v>0.02</v>
      </c>
      <c r="D182" s="212">
        <v>4.08</v>
      </c>
      <c r="E182" s="212">
        <v>0.01</v>
      </c>
      <c r="F182" s="212">
        <v>4.32</v>
      </c>
      <c r="G182" s="212">
        <v>0.01</v>
      </c>
      <c r="H182" s="212">
        <v>4.41</v>
      </c>
      <c r="I182" s="212">
        <v>0.01</v>
      </c>
    </row>
    <row r="183" spans="1:9" x14ac:dyDescent="0.35">
      <c r="A183" s="209" t="s">
        <v>392</v>
      </c>
      <c r="B183" s="210">
        <v>16.46</v>
      </c>
      <c r="C183" s="210">
        <v>0.05</v>
      </c>
      <c r="D183" s="210">
        <v>18.059999999999999</v>
      </c>
      <c r="E183" s="210">
        <v>0.05</v>
      </c>
      <c r="F183" s="210">
        <v>18.48</v>
      </c>
      <c r="G183" s="210">
        <v>0.04</v>
      </c>
      <c r="H183" s="210">
        <v>18.23</v>
      </c>
      <c r="I183" s="210">
        <v>0.04</v>
      </c>
    </row>
    <row r="184" spans="1:9" x14ac:dyDescent="0.35">
      <c r="A184" s="211" t="s">
        <v>134</v>
      </c>
      <c r="B184" s="212">
        <v>338.54</v>
      </c>
      <c r="C184" s="212">
        <v>0.93</v>
      </c>
      <c r="D184" s="212">
        <v>385.24</v>
      </c>
      <c r="E184" s="212">
        <v>0.99</v>
      </c>
      <c r="F184" s="212">
        <v>446.13</v>
      </c>
      <c r="G184" s="212">
        <v>0.97</v>
      </c>
      <c r="H184" s="212">
        <v>449.9</v>
      </c>
      <c r="I184" s="212">
        <v>0.96</v>
      </c>
    </row>
    <row r="185" spans="1:9" x14ac:dyDescent="0.35">
      <c r="A185" s="209" t="s">
        <v>373</v>
      </c>
      <c r="B185" s="210">
        <v>285.83</v>
      </c>
      <c r="C185" s="210">
        <v>0.79</v>
      </c>
      <c r="D185" s="210">
        <v>491.28</v>
      </c>
      <c r="E185" s="210">
        <v>1.27</v>
      </c>
      <c r="F185" s="210">
        <v>544.07000000000005</v>
      </c>
      <c r="G185" s="210">
        <v>1.19</v>
      </c>
      <c r="H185" s="210">
        <v>577.51</v>
      </c>
      <c r="I185" s="210">
        <v>1.23</v>
      </c>
    </row>
    <row r="186" spans="1:9" x14ac:dyDescent="0.35">
      <c r="A186" s="211" t="s">
        <v>124</v>
      </c>
      <c r="B186" s="212">
        <v>281.77</v>
      </c>
      <c r="C186" s="212">
        <v>0.77</v>
      </c>
      <c r="D186" s="212">
        <v>361.84</v>
      </c>
      <c r="E186" s="212">
        <v>0.93</v>
      </c>
      <c r="F186" s="212">
        <v>415.73</v>
      </c>
      <c r="G186" s="212">
        <v>0.91</v>
      </c>
      <c r="H186" s="212">
        <v>396.12</v>
      </c>
      <c r="I186" s="212">
        <v>0.84</v>
      </c>
    </row>
    <row r="187" spans="1:9" x14ac:dyDescent="0.35">
      <c r="A187" s="209" t="s">
        <v>321</v>
      </c>
      <c r="B187" s="210">
        <v>17.57</v>
      </c>
      <c r="C187" s="210">
        <v>0.05</v>
      </c>
      <c r="D187" s="210">
        <v>20.96</v>
      </c>
      <c r="E187" s="210">
        <v>0.05</v>
      </c>
      <c r="F187" s="210">
        <v>23.27</v>
      </c>
      <c r="G187" s="210">
        <v>0.05</v>
      </c>
      <c r="H187" s="210">
        <v>24.91</v>
      </c>
      <c r="I187" s="210">
        <v>0.05</v>
      </c>
    </row>
    <row r="188" spans="1:9" x14ac:dyDescent="0.35">
      <c r="A188" s="211" t="s">
        <v>325</v>
      </c>
      <c r="B188" s="212">
        <v>51.26</v>
      </c>
      <c r="C188" s="212">
        <v>0.14000000000000001</v>
      </c>
      <c r="D188" s="212">
        <v>77.06</v>
      </c>
      <c r="E188" s="212">
        <v>0.2</v>
      </c>
      <c r="F188" s="212">
        <v>88.15</v>
      </c>
      <c r="G188" s="212">
        <v>0.19</v>
      </c>
      <c r="H188" s="212">
        <v>96.6</v>
      </c>
      <c r="I188" s="212">
        <v>0.21</v>
      </c>
    </row>
    <row r="189" spans="1:9" x14ac:dyDescent="0.35">
      <c r="A189" s="209" t="s">
        <v>326</v>
      </c>
      <c r="B189" s="210">
        <v>9.84</v>
      </c>
      <c r="C189" s="210">
        <v>0.03</v>
      </c>
      <c r="D189" s="210">
        <v>6.24</v>
      </c>
      <c r="E189" s="210">
        <v>0.02</v>
      </c>
      <c r="F189" s="210">
        <v>5.79</v>
      </c>
      <c r="G189" s="210">
        <v>0.01</v>
      </c>
      <c r="H189" s="210">
        <v>4.3600000000000003</v>
      </c>
      <c r="I189" s="210">
        <v>0.01</v>
      </c>
    </row>
    <row r="190" spans="1:9" x14ac:dyDescent="0.35">
      <c r="A190" s="211" t="s">
        <v>327</v>
      </c>
      <c r="B190" s="212">
        <v>2.16</v>
      </c>
      <c r="C190" s="212">
        <v>0.01</v>
      </c>
      <c r="D190" s="212">
        <v>2.4700000000000002</v>
      </c>
      <c r="E190" s="212">
        <v>0.01</v>
      </c>
      <c r="F190" s="212">
        <v>2.4300000000000002</v>
      </c>
      <c r="G190" s="212">
        <v>0.01</v>
      </c>
      <c r="H190" s="212">
        <v>2.65</v>
      </c>
      <c r="I190" s="212">
        <v>0.01</v>
      </c>
    </row>
    <row r="191" spans="1:9" x14ac:dyDescent="0.35">
      <c r="A191" s="209" t="s">
        <v>145</v>
      </c>
      <c r="B191" s="210">
        <v>89.28</v>
      </c>
      <c r="C191" s="210">
        <v>0.25</v>
      </c>
      <c r="D191" s="210">
        <v>89.65</v>
      </c>
      <c r="E191" s="210">
        <v>0.23</v>
      </c>
      <c r="F191" s="210">
        <v>86.73</v>
      </c>
      <c r="G191" s="210">
        <v>0.19</v>
      </c>
      <c r="H191" s="210">
        <v>82.29</v>
      </c>
      <c r="I191" s="210">
        <v>0.18</v>
      </c>
    </row>
    <row r="192" spans="1:9" x14ac:dyDescent="0.35">
      <c r="A192" s="211" t="s">
        <v>146</v>
      </c>
      <c r="B192" s="212">
        <v>55.81</v>
      </c>
      <c r="C192" s="212">
        <v>0.15</v>
      </c>
      <c r="D192" s="212">
        <v>53.17</v>
      </c>
      <c r="E192" s="212">
        <v>0.14000000000000001</v>
      </c>
      <c r="F192" s="212">
        <v>55.85</v>
      </c>
      <c r="G192" s="212">
        <v>0.12</v>
      </c>
      <c r="H192" s="212">
        <v>56.46</v>
      </c>
      <c r="I192" s="212">
        <v>0.12</v>
      </c>
    </row>
    <row r="193" spans="1:9" ht="31" x14ac:dyDescent="0.35">
      <c r="A193" s="209" t="s">
        <v>147</v>
      </c>
      <c r="B193" s="210">
        <v>44.03</v>
      </c>
      <c r="C193" s="210">
        <v>0.12</v>
      </c>
      <c r="D193" s="210">
        <v>59.63</v>
      </c>
      <c r="E193" s="210">
        <v>0.15</v>
      </c>
      <c r="F193" s="210">
        <v>54.63</v>
      </c>
      <c r="G193" s="210">
        <v>0.12</v>
      </c>
      <c r="H193" s="210">
        <v>55.27</v>
      </c>
      <c r="I193" s="210">
        <v>0.12</v>
      </c>
    </row>
    <row r="194" spans="1:9" x14ac:dyDescent="0.35">
      <c r="A194" s="211" t="s">
        <v>143</v>
      </c>
      <c r="B194" s="212">
        <v>121.72</v>
      </c>
      <c r="C194" s="212">
        <v>0.33</v>
      </c>
      <c r="D194" s="212">
        <v>226.84</v>
      </c>
      <c r="E194" s="212">
        <v>0.59</v>
      </c>
      <c r="F194" s="212">
        <v>277.35000000000002</v>
      </c>
      <c r="G194" s="212">
        <v>0.61</v>
      </c>
      <c r="H194" s="212">
        <v>276.85000000000002</v>
      </c>
      <c r="I194" s="212">
        <v>0.59</v>
      </c>
    </row>
    <row r="195" spans="1:9" x14ac:dyDescent="0.35">
      <c r="A195" s="209" t="s">
        <v>149</v>
      </c>
      <c r="B195" s="210">
        <v>20.81</v>
      </c>
      <c r="C195" s="210">
        <v>0.06</v>
      </c>
      <c r="D195" s="210">
        <v>9.82</v>
      </c>
      <c r="E195" s="210">
        <v>0.03</v>
      </c>
      <c r="F195" s="210">
        <v>12.09</v>
      </c>
      <c r="G195" s="210">
        <v>0.03</v>
      </c>
      <c r="H195" s="210">
        <v>14.15</v>
      </c>
      <c r="I195" s="210">
        <v>0.03</v>
      </c>
    </row>
    <row r="196" spans="1:9" x14ac:dyDescent="0.35">
      <c r="A196" s="211" t="s">
        <v>144</v>
      </c>
      <c r="B196" s="212">
        <v>182.32</v>
      </c>
      <c r="C196" s="212">
        <v>0.5</v>
      </c>
      <c r="D196" s="212">
        <v>262.47000000000003</v>
      </c>
      <c r="E196" s="212">
        <v>0.68</v>
      </c>
      <c r="F196" s="212">
        <v>327.25</v>
      </c>
      <c r="G196" s="212">
        <v>0.71</v>
      </c>
      <c r="H196" s="212">
        <v>339.98</v>
      </c>
      <c r="I196" s="212">
        <v>0.72</v>
      </c>
    </row>
    <row r="197" spans="1:9" x14ac:dyDescent="0.35">
      <c r="A197" s="209" t="s">
        <v>1056</v>
      </c>
      <c r="B197" s="210">
        <v>0.44</v>
      </c>
      <c r="C197" s="210">
        <v>0</v>
      </c>
      <c r="D197" s="210">
        <v>0.6</v>
      </c>
      <c r="E197" s="210">
        <v>0</v>
      </c>
      <c r="F197" s="210">
        <v>0.86</v>
      </c>
      <c r="G197" s="210">
        <v>0</v>
      </c>
      <c r="H197" s="210">
        <v>0.89</v>
      </c>
      <c r="I197" s="210">
        <v>0</v>
      </c>
    </row>
    <row r="198" spans="1:9" x14ac:dyDescent="0.35">
      <c r="A198" s="211" t="s">
        <v>152</v>
      </c>
      <c r="B198" s="212">
        <v>10.53</v>
      </c>
      <c r="C198" s="212">
        <v>0.03</v>
      </c>
      <c r="D198" s="212">
        <v>9.74</v>
      </c>
      <c r="E198" s="212">
        <v>0.03</v>
      </c>
      <c r="F198" s="212">
        <v>11.46</v>
      </c>
      <c r="G198" s="212">
        <v>0.03</v>
      </c>
      <c r="H198" s="212">
        <v>23.8</v>
      </c>
      <c r="I198" s="212">
        <v>0.05</v>
      </c>
    </row>
    <row r="199" spans="1:9" x14ac:dyDescent="0.35">
      <c r="A199" s="209" t="s">
        <v>153</v>
      </c>
      <c r="B199" s="210">
        <v>0.12</v>
      </c>
      <c r="C199" s="210">
        <v>0</v>
      </c>
      <c r="D199" s="210">
        <v>0.18</v>
      </c>
      <c r="E199" s="210">
        <v>0</v>
      </c>
      <c r="F199" s="210">
        <v>0.16</v>
      </c>
      <c r="G199" s="210">
        <v>0</v>
      </c>
      <c r="H199" s="210">
        <v>0.15</v>
      </c>
      <c r="I199" s="210">
        <v>0</v>
      </c>
    </row>
    <row r="200" spans="1:9" ht="31" x14ac:dyDescent="0.35">
      <c r="A200" s="211" t="s">
        <v>154</v>
      </c>
      <c r="B200" s="212">
        <v>15.01</v>
      </c>
      <c r="C200" s="212">
        <v>0.04</v>
      </c>
      <c r="D200" s="212">
        <v>23.19</v>
      </c>
      <c r="E200" s="212">
        <v>0.06</v>
      </c>
      <c r="F200" s="212">
        <v>43.8</v>
      </c>
      <c r="G200" s="212">
        <v>0.1</v>
      </c>
      <c r="H200" s="212">
        <v>54.39</v>
      </c>
      <c r="I200" s="212">
        <v>0.12</v>
      </c>
    </row>
    <row r="201" spans="1:9" x14ac:dyDescent="0.35">
      <c r="A201" s="209" t="s">
        <v>155</v>
      </c>
      <c r="B201" s="210">
        <v>18.79</v>
      </c>
      <c r="C201" s="210">
        <v>0.05</v>
      </c>
      <c r="D201" s="210">
        <v>28.68</v>
      </c>
      <c r="E201" s="210">
        <v>7.0000000000000007E-2</v>
      </c>
      <c r="F201" s="210">
        <v>30.48</v>
      </c>
      <c r="G201" s="210">
        <v>7.0000000000000007E-2</v>
      </c>
      <c r="H201" s="210">
        <v>32.409999999999997</v>
      </c>
      <c r="I201" s="210">
        <v>7.0000000000000007E-2</v>
      </c>
    </row>
    <row r="202" spans="1:9" x14ac:dyDescent="0.35">
      <c r="A202" s="211" t="s">
        <v>125</v>
      </c>
      <c r="B202" s="212">
        <v>215.92</v>
      </c>
      <c r="C202" s="212">
        <v>0.59</v>
      </c>
      <c r="D202" s="212">
        <v>306.87</v>
      </c>
      <c r="E202" s="212">
        <v>0.79</v>
      </c>
      <c r="F202" s="212">
        <v>340.81</v>
      </c>
      <c r="G202" s="212">
        <v>0.74</v>
      </c>
      <c r="H202" s="212">
        <v>392.01</v>
      </c>
      <c r="I202" s="212">
        <v>0.84</v>
      </c>
    </row>
    <row r="203" spans="1:9" x14ac:dyDescent="0.35">
      <c r="A203" s="209" t="s">
        <v>156</v>
      </c>
      <c r="B203" s="210">
        <v>81.25</v>
      </c>
      <c r="C203" s="210">
        <v>0.22</v>
      </c>
      <c r="D203" s="210">
        <v>63.24</v>
      </c>
      <c r="E203" s="210">
        <v>0.16</v>
      </c>
      <c r="F203" s="210">
        <v>79.23</v>
      </c>
      <c r="G203" s="210">
        <v>0.17</v>
      </c>
      <c r="H203" s="210">
        <v>91.66</v>
      </c>
      <c r="I203" s="210">
        <v>0.2</v>
      </c>
    </row>
    <row r="204" spans="1:9" x14ac:dyDescent="0.35">
      <c r="A204" s="211" t="s">
        <v>157</v>
      </c>
      <c r="B204" s="212">
        <v>26.73</v>
      </c>
      <c r="C204" s="212">
        <v>7.0000000000000007E-2</v>
      </c>
      <c r="D204" s="212">
        <v>31.77</v>
      </c>
      <c r="E204" s="212">
        <v>0.08</v>
      </c>
      <c r="F204" s="212">
        <v>35.58</v>
      </c>
      <c r="G204" s="212">
        <v>0.08</v>
      </c>
      <c r="H204" s="212">
        <v>38.049999999999997</v>
      </c>
      <c r="I204" s="212">
        <v>0.08</v>
      </c>
    </row>
    <row r="205" spans="1:9" x14ac:dyDescent="0.35">
      <c r="A205" s="209" t="s">
        <v>191</v>
      </c>
      <c r="B205" s="210">
        <v>885.18</v>
      </c>
      <c r="C205" s="210">
        <v>2.4300000000000002</v>
      </c>
      <c r="D205" s="210">
        <v>466.6</v>
      </c>
      <c r="E205" s="210">
        <v>1.2</v>
      </c>
      <c r="F205" s="210">
        <v>436.27</v>
      </c>
      <c r="G205" s="210">
        <v>0.95</v>
      </c>
      <c r="H205" s="210">
        <v>434.85</v>
      </c>
      <c r="I205" s="210">
        <v>0.93</v>
      </c>
    </row>
    <row r="206" spans="1:9" ht="46.5" x14ac:dyDescent="0.35">
      <c r="A206" s="211" t="s">
        <v>1057</v>
      </c>
      <c r="B206" s="212">
        <v>73.37</v>
      </c>
      <c r="C206" s="212">
        <v>0.2</v>
      </c>
      <c r="D206" s="212">
        <v>83.01</v>
      </c>
      <c r="E206" s="212">
        <v>0.21</v>
      </c>
      <c r="F206" s="212">
        <v>106.41</v>
      </c>
      <c r="G206" s="212">
        <v>0.23</v>
      </c>
      <c r="H206" s="212">
        <v>60.48</v>
      </c>
      <c r="I206" s="212">
        <v>0.13</v>
      </c>
    </row>
    <row r="207" spans="1:9" ht="31" x14ac:dyDescent="0.35">
      <c r="A207" s="209" t="s">
        <v>130</v>
      </c>
      <c r="B207" s="210">
        <v>71.98</v>
      </c>
      <c r="C207" s="210">
        <v>0.2</v>
      </c>
      <c r="D207" s="210">
        <v>114.85</v>
      </c>
      <c r="E207" s="210">
        <v>0.3</v>
      </c>
      <c r="F207" s="210">
        <v>143.19999999999999</v>
      </c>
      <c r="G207" s="210">
        <v>0.31</v>
      </c>
      <c r="H207" s="210">
        <v>181.24</v>
      </c>
      <c r="I207" s="210">
        <v>0.39</v>
      </c>
    </row>
    <row r="208" spans="1:9" ht="31" x14ac:dyDescent="0.35">
      <c r="A208" s="211" t="s">
        <v>126</v>
      </c>
      <c r="B208" s="212">
        <v>751.97</v>
      </c>
      <c r="C208" s="212">
        <v>2.0699999999999998</v>
      </c>
      <c r="D208" s="212">
        <v>677.53</v>
      </c>
      <c r="E208" s="212">
        <v>1.75</v>
      </c>
      <c r="F208" s="212">
        <v>665.46</v>
      </c>
      <c r="G208" s="212">
        <v>1.45</v>
      </c>
      <c r="H208" s="212">
        <v>642.54999999999995</v>
      </c>
      <c r="I208" s="212">
        <v>1.37</v>
      </c>
    </row>
    <row r="209" spans="1:9" x14ac:dyDescent="0.35">
      <c r="A209" s="209" t="s">
        <v>112</v>
      </c>
      <c r="B209" s="210">
        <v>6016.89</v>
      </c>
      <c r="C209" s="210">
        <v>16.53</v>
      </c>
      <c r="D209" s="210">
        <v>6893.89</v>
      </c>
      <c r="E209" s="210">
        <v>17.8</v>
      </c>
      <c r="F209" s="210">
        <v>6995.73</v>
      </c>
      <c r="G209" s="210">
        <v>15.27</v>
      </c>
      <c r="H209" s="210">
        <v>6595.38</v>
      </c>
      <c r="I209" s="210">
        <v>14.06</v>
      </c>
    </row>
    <row r="210" spans="1:9" x14ac:dyDescent="0.35">
      <c r="A210" s="211" t="s">
        <v>158</v>
      </c>
      <c r="B210" s="212">
        <v>25.65</v>
      </c>
      <c r="C210" s="212">
        <v>7.0000000000000007E-2</v>
      </c>
      <c r="D210" s="212">
        <v>29.94</v>
      </c>
      <c r="E210" s="212">
        <v>0.08</v>
      </c>
      <c r="F210" s="212">
        <v>31.81</v>
      </c>
      <c r="G210" s="212">
        <v>7.0000000000000007E-2</v>
      </c>
      <c r="H210" s="212">
        <v>33.1</v>
      </c>
      <c r="I210" s="212">
        <v>7.0000000000000007E-2</v>
      </c>
    </row>
    <row r="211" spans="1:9" ht="31" x14ac:dyDescent="0.35">
      <c r="A211" s="209" t="s">
        <v>1058</v>
      </c>
      <c r="B211" s="210">
        <v>0.04</v>
      </c>
      <c r="C211" s="210">
        <v>0</v>
      </c>
      <c r="D211" s="210">
        <v>0.04</v>
      </c>
      <c r="E211" s="210">
        <v>0</v>
      </c>
      <c r="F211" s="210">
        <v>0.05</v>
      </c>
      <c r="G211" s="210">
        <v>0</v>
      </c>
      <c r="H211" s="210">
        <v>0.05</v>
      </c>
      <c r="I211" s="210">
        <v>0</v>
      </c>
    </row>
    <row r="212" spans="1:9" x14ac:dyDescent="0.35">
      <c r="A212" s="211" t="s">
        <v>192</v>
      </c>
      <c r="B212" s="212">
        <v>159.65</v>
      </c>
      <c r="C212" s="212">
        <v>0.44</v>
      </c>
      <c r="D212" s="212">
        <v>160.57</v>
      </c>
      <c r="E212" s="212">
        <v>0.41</v>
      </c>
      <c r="F212" s="212">
        <v>163.34</v>
      </c>
      <c r="G212" s="212">
        <v>0.36</v>
      </c>
      <c r="H212" s="212">
        <v>178.22</v>
      </c>
      <c r="I212" s="212">
        <v>0.38</v>
      </c>
    </row>
    <row r="213" spans="1:9" x14ac:dyDescent="0.35">
      <c r="A213" s="209" t="s">
        <v>116</v>
      </c>
      <c r="B213" s="210">
        <v>201.91</v>
      </c>
      <c r="C213" s="210">
        <v>0.55000000000000004</v>
      </c>
      <c r="D213" s="210">
        <v>246.54</v>
      </c>
      <c r="E213" s="210">
        <v>0.64</v>
      </c>
      <c r="F213" s="210">
        <v>261.83999999999997</v>
      </c>
      <c r="G213" s="210">
        <v>0.56999999999999995</v>
      </c>
      <c r="H213" s="210">
        <v>294.81</v>
      </c>
      <c r="I213" s="210">
        <v>0.63</v>
      </c>
    </row>
    <row r="214" spans="1:9" x14ac:dyDescent="0.35">
      <c r="A214" s="211" t="s">
        <v>1059</v>
      </c>
      <c r="B214" s="212">
        <v>90.27</v>
      </c>
      <c r="C214" s="212">
        <v>0.25</v>
      </c>
      <c r="D214" s="212">
        <v>144.11000000000001</v>
      </c>
      <c r="E214" s="212">
        <v>0.37</v>
      </c>
      <c r="F214" s="212">
        <v>213.07</v>
      </c>
      <c r="G214" s="212">
        <v>0.47</v>
      </c>
      <c r="H214" s="212">
        <v>246.01</v>
      </c>
      <c r="I214" s="212">
        <v>0.52</v>
      </c>
    </row>
    <row r="215" spans="1:9" ht="31" x14ac:dyDescent="0.35">
      <c r="A215" s="209" t="s">
        <v>582</v>
      </c>
      <c r="B215" s="210">
        <v>0.45</v>
      </c>
      <c r="C215" s="210">
        <v>0</v>
      </c>
      <c r="D215" s="210">
        <v>0.54</v>
      </c>
      <c r="E215" s="210">
        <v>0</v>
      </c>
      <c r="F215" s="210">
        <v>0.56000000000000005</v>
      </c>
      <c r="G215" s="210">
        <v>0</v>
      </c>
      <c r="H215" s="210">
        <v>0.59</v>
      </c>
      <c r="I215" s="210">
        <v>0</v>
      </c>
    </row>
    <row r="216" spans="1:9" x14ac:dyDescent="0.35">
      <c r="A216" s="211" t="s">
        <v>385</v>
      </c>
      <c r="B216" s="212">
        <v>11.81</v>
      </c>
      <c r="C216" s="212">
        <v>0.03</v>
      </c>
      <c r="D216" s="212">
        <v>21.11</v>
      </c>
      <c r="E216" s="212">
        <v>0.05</v>
      </c>
      <c r="F216" s="212">
        <v>29.69</v>
      </c>
      <c r="G216" s="212">
        <v>0.06</v>
      </c>
      <c r="H216" s="212">
        <v>33.79</v>
      </c>
      <c r="I216" s="212">
        <v>7.0000000000000007E-2</v>
      </c>
    </row>
    <row r="217" spans="1:9" x14ac:dyDescent="0.35">
      <c r="A217" s="209" t="s">
        <v>162</v>
      </c>
      <c r="B217" s="210">
        <v>170.55</v>
      </c>
      <c r="C217" s="210">
        <v>0.47</v>
      </c>
      <c r="D217" s="210">
        <v>131.91999999999999</v>
      </c>
      <c r="E217" s="210">
        <v>0.34</v>
      </c>
      <c r="F217" s="210">
        <v>147.69</v>
      </c>
      <c r="G217" s="210">
        <v>0.32</v>
      </c>
      <c r="H217" s="210">
        <v>73.08</v>
      </c>
      <c r="I217" s="210">
        <v>0.16</v>
      </c>
    </row>
    <row r="218" spans="1:9" x14ac:dyDescent="0.35">
      <c r="A218" s="211" t="s">
        <v>163</v>
      </c>
      <c r="B218" s="212">
        <v>30.56</v>
      </c>
      <c r="C218" s="212">
        <v>0.08</v>
      </c>
      <c r="D218" s="212">
        <v>27.33</v>
      </c>
      <c r="E218" s="212">
        <v>7.0000000000000007E-2</v>
      </c>
      <c r="F218" s="212">
        <v>24.41</v>
      </c>
      <c r="G218" s="212">
        <v>0.05</v>
      </c>
      <c r="H218" s="212">
        <v>23.6</v>
      </c>
      <c r="I218" s="212">
        <v>0.05</v>
      </c>
    </row>
  </sheetData>
  <mergeCells count="3">
    <mergeCell ref="A2:I2"/>
    <mergeCell ref="A3:I3"/>
    <mergeCell ref="A4:I4"/>
  </mergeCells>
  <hyperlinks>
    <hyperlink ref="A1" r:id="rId1"/>
  </hyperlinks>
  <pageMargins left="0.7" right="0.7" top="0.75" bottom="0.75" header="0.3" footer="0.3"/>
  <pageSetup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workbookViewId="0"/>
  </sheetViews>
  <sheetFormatPr defaultRowHeight="15.5" x14ac:dyDescent="0.35"/>
  <cols>
    <col min="1" max="1" width="26" style="99" customWidth="1"/>
    <col min="2" max="23" width="11.75" style="99" customWidth="1"/>
    <col min="24" max="16384" width="8.6640625" style="99"/>
  </cols>
  <sheetData>
    <row r="1" spans="1:23" ht="18" x14ac:dyDescent="0.4">
      <c r="A1" s="215" t="s">
        <v>1091</v>
      </c>
    </row>
    <row r="2" spans="1:23" x14ac:dyDescent="0.35">
      <c r="A2" s="133" t="s">
        <v>1090</v>
      </c>
    </row>
    <row r="4" spans="1:23" x14ac:dyDescent="0.35">
      <c r="A4" s="110" t="s">
        <v>1089</v>
      </c>
      <c r="B4" s="214" t="s">
        <v>1088</v>
      </c>
      <c r="C4" s="214" t="s">
        <v>1087</v>
      </c>
      <c r="D4" s="214" t="s">
        <v>1086</v>
      </c>
      <c r="E4" s="214" t="s">
        <v>1085</v>
      </c>
      <c r="F4" s="214" t="s">
        <v>1084</v>
      </c>
      <c r="G4" s="214" t="s">
        <v>1083</v>
      </c>
      <c r="H4" s="214" t="s">
        <v>1082</v>
      </c>
      <c r="I4" s="214" t="s">
        <v>1081</v>
      </c>
      <c r="J4" s="214" t="s">
        <v>1080</v>
      </c>
      <c r="K4" s="214" t="s">
        <v>1079</v>
      </c>
      <c r="L4" s="214" t="s">
        <v>1078</v>
      </c>
      <c r="M4" s="214" t="s">
        <v>1077</v>
      </c>
      <c r="N4" s="214" t="s">
        <v>1076</v>
      </c>
      <c r="O4" s="214" t="s">
        <v>1075</v>
      </c>
      <c r="P4" s="214" t="s">
        <v>1074</v>
      </c>
      <c r="Q4" s="214" t="s">
        <v>1073</v>
      </c>
      <c r="R4" s="214" t="s">
        <v>1072</v>
      </c>
      <c r="S4" s="214" t="s">
        <v>1071</v>
      </c>
      <c r="T4" s="214" t="s">
        <v>1070</v>
      </c>
      <c r="U4" s="214" t="s">
        <v>1069</v>
      </c>
      <c r="V4" s="214" t="s">
        <v>1068</v>
      </c>
      <c r="W4" s="214" t="s">
        <v>1067</v>
      </c>
    </row>
    <row r="5" spans="1:23" x14ac:dyDescent="0.35">
      <c r="A5" s="110" t="s">
        <v>1066</v>
      </c>
      <c r="B5" s="213">
        <v>6161460.5017812401</v>
      </c>
      <c r="C5" s="213">
        <v>6161460.5017812401</v>
      </c>
      <c r="D5" s="213">
        <v>6122046.2035124702</v>
      </c>
      <c r="E5" s="213">
        <v>6221939.1249527298</v>
      </c>
      <c r="F5" s="213">
        <v>6347518.4554303102</v>
      </c>
      <c r="G5" s="213">
        <v>6437059.4394610897</v>
      </c>
      <c r="H5" s="213">
        <v>6528272.7862712899</v>
      </c>
      <c r="I5" s="213">
        <v>6729772.9170727301</v>
      </c>
      <c r="J5" s="213">
        <v>6789824.5620811703</v>
      </c>
      <c r="K5" s="213">
        <v>6831295.7082428401</v>
      </c>
      <c r="L5" s="213">
        <v>6882624.5292182202</v>
      </c>
      <c r="M5" s="213">
        <v>7072446.6429393897</v>
      </c>
      <c r="N5" s="213">
        <v>6964520.37596747</v>
      </c>
      <c r="O5" s="213">
        <v>6992368.7661193199</v>
      </c>
      <c r="P5" s="213">
        <v>7029781.3938462501</v>
      </c>
      <c r="Q5" s="213">
        <v>7145552.2506162599</v>
      </c>
      <c r="R5" s="213">
        <v>7178658.1912505999</v>
      </c>
      <c r="S5" s="213">
        <v>7116140.1873299601</v>
      </c>
      <c r="T5" s="213">
        <v>7215169.8124863803</v>
      </c>
      <c r="U5" s="213">
        <v>7020897.7191158598</v>
      </c>
      <c r="V5" s="213">
        <v>6587687.3582708901</v>
      </c>
      <c r="W5" s="213">
        <v>6802224.5091722598</v>
      </c>
    </row>
    <row r="6" spans="1:23" x14ac:dyDescent="0.35">
      <c r="A6" s="110" t="s">
        <v>1065</v>
      </c>
      <c r="B6" s="213">
        <v>5293369.0734838899</v>
      </c>
      <c r="C6" s="213">
        <v>5293369.0734838899</v>
      </c>
      <c r="D6" s="213">
        <v>5289653.7639905997</v>
      </c>
      <c r="E6" s="213">
        <v>5405761.6824895004</v>
      </c>
      <c r="F6" s="213">
        <v>5565903.4681371497</v>
      </c>
      <c r="G6" s="213">
        <v>5562545.9788751397</v>
      </c>
      <c r="H6" s="213">
        <v>5727303.66792366</v>
      </c>
      <c r="I6" s="213">
        <v>5979794.7140076105</v>
      </c>
      <c r="J6" s="213">
        <v>6028545.6198563203</v>
      </c>
      <c r="K6" s="213">
        <v>6155272.2553857397</v>
      </c>
      <c r="L6" s="213">
        <v>6274765.4763564803</v>
      </c>
      <c r="M6" s="213">
        <v>6424129.8924586503</v>
      </c>
      <c r="N6" s="213">
        <v>6225499.8701916002</v>
      </c>
      <c r="O6" s="213">
        <v>6078498.2261152398</v>
      </c>
      <c r="P6" s="213">
        <v>6027581.7877437798</v>
      </c>
      <c r="Q6" s="213">
        <v>6094882.1250568004</v>
      </c>
      <c r="R6" s="213">
        <v>6118282.03852781</v>
      </c>
      <c r="S6" s="213">
        <v>6048939.8527149204</v>
      </c>
      <c r="T6" s="213">
        <v>6144525.19573416</v>
      </c>
      <c r="U6" s="213">
        <v>5960865.5262174401</v>
      </c>
      <c r="V6" s="213">
        <v>5545716.6867800402</v>
      </c>
      <c r="W6" s="213">
        <v>5747136.6687944504</v>
      </c>
    </row>
    <row r="7" spans="1:23" x14ac:dyDescent="0.35">
      <c r="A7" s="99" t="s">
        <v>1064</v>
      </c>
    </row>
    <row r="8" spans="1:23" x14ac:dyDescent="0.35">
      <c r="A8" s="99" t="s">
        <v>1063</v>
      </c>
    </row>
    <row r="9" spans="1:23" x14ac:dyDescent="0.35">
      <c r="A9" s="99" t="s">
        <v>1062</v>
      </c>
    </row>
    <row r="10" spans="1:23" x14ac:dyDescent="0.35">
      <c r="A10" s="99" t="s">
        <v>1061</v>
      </c>
    </row>
    <row r="25" spans="1:1" ht="16" thickBot="1" x14ac:dyDescent="0.4">
      <c r="A25" s="1"/>
    </row>
    <row r="26" spans="1:1" ht="16" thickTop="1" x14ac:dyDescent="0.35"/>
  </sheetData>
  <pageMargins left="0.75" right="0.75" top="1" bottom="1" header="0.5" footer="0.5"/>
  <pageSetup orientation="portrait" horizontalDpi="300" verticalDpi="300" copies="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sheetPr>
  <dimension ref="A1:S16"/>
  <sheetViews>
    <sheetView workbookViewId="0">
      <selection activeCell="B3" sqref="B3"/>
    </sheetView>
  </sheetViews>
  <sheetFormatPr defaultColWidth="8.9140625" defaultRowHeight="15.5" x14ac:dyDescent="0.35"/>
  <cols>
    <col min="1" max="1" width="25.5" customWidth="1"/>
    <col min="2" max="2" width="31" customWidth="1"/>
    <col min="8" max="8" width="8" customWidth="1"/>
  </cols>
  <sheetData>
    <row r="1" spans="1:19" x14ac:dyDescent="0.35">
      <c r="A1" s="8"/>
    </row>
    <row r="2" spans="1:19" ht="18.5" x14ac:dyDescent="0.35">
      <c r="A2" s="15" t="s">
        <v>105</v>
      </c>
      <c r="B2" s="14" t="s">
        <v>2</v>
      </c>
    </row>
    <row r="3" spans="1:19" x14ac:dyDescent="0.35">
      <c r="A3" s="9" t="s">
        <v>93</v>
      </c>
      <c r="B3" s="11">
        <v>0.91</v>
      </c>
      <c r="H3" s="216"/>
      <c r="I3" s="216"/>
      <c r="K3" s="111"/>
    </row>
    <row r="4" spans="1:19" x14ac:dyDescent="0.35">
      <c r="A4" s="9" t="s">
        <v>94</v>
      </c>
      <c r="B4" s="11">
        <v>1.25</v>
      </c>
    </row>
    <row r="5" spans="1:19" ht="18.5" x14ac:dyDescent="0.35">
      <c r="A5" s="9" t="s">
        <v>95</v>
      </c>
      <c r="B5" s="223">
        <v>1.04</v>
      </c>
      <c r="C5" s="224"/>
      <c r="D5" s="224"/>
      <c r="E5" s="224"/>
      <c r="I5" s="217"/>
      <c r="L5" s="217"/>
      <c r="M5" s="217"/>
      <c r="N5" s="217"/>
      <c r="O5" s="217"/>
      <c r="P5" s="101"/>
      <c r="Q5" s="101"/>
      <c r="R5" s="101"/>
      <c r="S5" s="217" t="s">
        <v>1095</v>
      </c>
    </row>
    <row r="6" spans="1:19" x14ac:dyDescent="0.35">
      <c r="A6" s="9" t="s">
        <v>96</v>
      </c>
      <c r="B6" s="11">
        <v>0.62</v>
      </c>
    </row>
    <row r="7" spans="1:19" x14ac:dyDescent="0.35">
      <c r="A7" s="9" t="s">
        <v>97</v>
      </c>
      <c r="B7" s="11">
        <v>0.88</v>
      </c>
    </row>
    <row r="8" spans="1:19" x14ac:dyDescent="0.35">
      <c r="A8" s="9" t="s">
        <v>98</v>
      </c>
      <c r="B8" s="11">
        <v>3.7</v>
      </c>
    </row>
    <row r="9" spans="1:19" x14ac:dyDescent="0.35">
      <c r="A9" s="9" t="s">
        <v>99</v>
      </c>
      <c r="B9" s="11">
        <v>1.54</v>
      </c>
    </row>
    <row r="10" spans="1:19" x14ac:dyDescent="0.35">
      <c r="A10" s="9" t="s">
        <v>100</v>
      </c>
      <c r="B10" s="11">
        <v>1.72</v>
      </c>
    </row>
    <row r="11" spans="1:19" x14ac:dyDescent="0.35">
      <c r="A11" s="9" t="s">
        <v>101</v>
      </c>
      <c r="B11" s="11">
        <v>2</v>
      </c>
    </row>
    <row r="12" spans="1:19" x14ac:dyDescent="0.35">
      <c r="A12" s="9" t="s">
        <v>102</v>
      </c>
      <c r="B12" s="12">
        <v>19</v>
      </c>
    </row>
    <row r="13" spans="1:19" x14ac:dyDescent="0.35">
      <c r="A13" s="9" t="s">
        <v>103</v>
      </c>
      <c r="B13" s="10"/>
    </row>
    <row r="14" spans="1:19" x14ac:dyDescent="0.35">
      <c r="A14" s="13" t="s">
        <v>104</v>
      </c>
      <c r="B14" s="10"/>
    </row>
    <row r="16" spans="1:19" x14ac:dyDescent="0.35">
      <c r="A16" t="s">
        <v>1</v>
      </c>
    </row>
  </sheetData>
  <phoneticPr fontId="0" type="noConversion"/>
  <pageMargins left="0.75" right="0.75" top="1" bottom="1" header="0.5" footer="0.5"/>
  <pageSetup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M238"/>
  <sheetViews>
    <sheetView tabSelected="1" zoomScale="70" zoomScaleNormal="70" workbookViewId="0">
      <pane xSplit="1" ySplit="5" topLeftCell="S6" activePane="bottomRight" state="frozen"/>
      <selection activeCell="K3" sqref="K3"/>
      <selection pane="topRight" activeCell="K3" sqref="K3"/>
      <selection pane="bottomLeft" activeCell="K3" sqref="K3"/>
      <selection pane="bottomRight" activeCell="AJ6" sqref="AJ6"/>
    </sheetView>
  </sheetViews>
  <sheetFormatPr defaultColWidth="8.6640625" defaultRowHeight="15.5" x14ac:dyDescent="0.35"/>
  <cols>
    <col min="1" max="1" width="14.5" style="107" customWidth="1"/>
    <col min="2" max="5" width="9.1640625" style="106" customWidth="1"/>
    <col min="6" max="6" width="8.6640625" style="106" customWidth="1"/>
    <col min="7" max="7" width="9.1640625" style="106" customWidth="1"/>
    <col min="8" max="8" width="8" style="106" customWidth="1"/>
    <col min="9" max="9" width="7.33203125" style="106" customWidth="1"/>
    <col min="10" max="10" width="3.4140625" style="105" customWidth="1"/>
    <col min="11" max="11" width="16.58203125" style="102" customWidth="1"/>
    <col min="12" max="12" width="7.83203125" style="102" customWidth="1"/>
    <col min="13" max="13" width="8.9140625" style="102" customWidth="1"/>
    <col min="14" max="14" width="9.5" style="102" customWidth="1"/>
    <col min="15" max="15" width="10.4140625" style="104" customWidth="1"/>
    <col min="16" max="16" width="8.1640625" style="103" customWidth="1"/>
    <col min="17" max="17" width="8.58203125" style="102" customWidth="1"/>
    <col min="18" max="18" width="9" style="102" customWidth="1"/>
    <col min="19" max="19" width="9.33203125" style="102" customWidth="1"/>
    <col min="20" max="20" width="8.6640625" style="101"/>
    <col min="21" max="21" width="8.6640625" style="99"/>
    <col min="22" max="26" width="8.6640625" style="100"/>
    <col min="27" max="27" width="8.6640625" style="99"/>
    <col min="28" max="28" width="8.6640625" style="100"/>
    <col min="29" max="16384" width="8.6640625" style="99"/>
  </cols>
  <sheetData>
    <row r="1" spans="1:39" ht="27.5" customHeight="1" x14ac:dyDescent="0.35">
      <c r="K1" s="106"/>
      <c r="L1" s="106"/>
      <c r="M1" s="106"/>
      <c r="N1" s="106"/>
      <c r="O1" s="113"/>
      <c r="Q1" s="106"/>
      <c r="R1" s="106"/>
      <c r="S1" s="106"/>
      <c r="U1" s="101"/>
      <c r="V1" s="100" t="s">
        <v>352</v>
      </c>
      <c r="W1" s="100" t="s">
        <v>352</v>
      </c>
      <c r="X1" s="100" t="s">
        <v>352</v>
      </c>
      <c r="Y1" s="100" t="s">
        <v>352</v>
      </c>
      <c r="Z1" s="100" t="s">
        <v>106</v>
      </c>
      <c r="AA1" s="100" t="s">
        <v>107</v>
      </c>
      <c r="AC1" s="101"/>
      <c r="AD1" s="101"/>
      <c r="AE1" s="101"/>
      <c r="AF1" s="101"/>
      <c r="AG1" s="101"/>
      <c r="AH1" s="101"/>
      <c r="AI1" s="101"/>
      <c r="AJ1" s="101"/>
      <c r="AK1" s="101"/>
      <c r="AL1" s="101"/>
      <c r="AM1" s="101"/>
    </row>
    <row r="2" spans="1:39" x14ac:dyDescent="0.35">
      <c r="A2" s="252" t="s">
        <v>602</v>
      </c>
      <c r="B2" s="252"/>
      <c r="C2" s="252"/>
      <c r="D2" s="252"/>
      <c r="E2" s="252"/>
      <c r="F2" s="252"/>
      <c r="G2" s="252"/>
      <c r="H2" s="252"/>
      <c r="I2" s="252"/>
      <c r="K2" s="126" t="s">
        <v>601</v>
      </c>
      <c r="U2" s="133" t="s">
        <v>600</v>
      </c>
      <c r="V2" s="100">
        <v>1.1345000000000001</v>
      </c>
      <c r="W2" s="118" t="s">
        <v>599</v>
      </c>
      <c r="X2" s="98" t="s">
        <v>561</v>
      </c>
    </row>
    <row r="3" spans="1:39" x14ac:dyDescent="0.35">
      <c r="A3" s="143"/>
      <c r="B3" s="144"/>
      <c r="C3" s="144"/>
      <c r="D3" s="144"/>
      <c r="E3" s="144"/>
      <c r="F3" s="144"/>
      <c r="G3" s="144"/>
      <c r="H3" s="144"/>
      <c r="I3" s="144"/>
      <c r="L3" s="132"/>
      <c r="M3" s="132"/>
      <c r="N3" s="132"/>
      <c r="O3" s="132"/>
      <c r="P3" s="131"/>
      <c r="R3" s="106"/>
      <c r="S3" s="106"/>
      <c r="T3" s="99"/>
      <c r="U3" s="128" t="s">
        <v>539</v>
      </c>
      <c r="V3" s="130"/>
      <c r="Z3" s="129" t="s">
        <v>540</v>
      </c>
      <c r="AA3" s="128" t="s">
        <v>598</v>
      </c>
    </row>
    <row r="4" spans="1:39" ht="31.5" x14ac:dyDescent="0.45">
      <c r="A4" s="143"/>
      <c r="B4" s="145" t="s">
        <v>597</v>
      </c>
      <c r="C4" s="145" t="s">
        <v>597</v>
      </c>
      <c r="D4" s="145" t="s">
        <v>597</v>
      </c>
      <c r="E4" s="145" t="s">
        <v>597</v>
      </c>
      <c r="F4" s="146" t="s">
        <v>106</v>
      </c>
      <c r="G4" s="145" t="s">
        <v>107</v>
      </c>
      <c r="H4" s="147" t="s">
        <v>1096</v>
      </c>
      <c r="I4" s="147" t="s">
        <v>1097</v>
      </c>
      <c r="J4" s="127"/>
      <c r="K4" s="218"/>
      <c r="L4" s="125" t="s">
        <v>597</v>
      </c>
      <c r="M4" s="125" t="s">
        <v>597</v>
      </c>
      <c r="N4" s="125" t="s">
        <v>597</v>
      </c>
      <c r="O4" s="125" t="s">
        <v>597</v>
      </c>
      <c r="P4" s="124" t="s">
        <v>106</v>
      </c>
      <c r="Q4" s="125" t="s">
        <v>107</v>
      </c>
      <c r="R4" s="134" t="s">
        <v>603</v>
      </c>
      <c r="S4" s="134" t="s">
        <v>604</v>
      </c>
      <c r="T4" s="99"/>
      <c r="AA4" s="99" t="s">
        <v>1117</v>
      </c>
      <c r="AB4" s="118" t="s">
        <v>107</v>
      </c>
    </row>
    <row r="5" spans="1:39" x14ac:dyDescent="0.35">
      <c r="A5" s="143"/>
      <c r="B5" s="145">
        <f>+L5</f>
        <v>1980</v>
      </c>
      <c r="C5" s="145">
        <f>+M5</f>
        <v>1990</v>
      </c>
      <c r="D5" s="145">
        <f>+N5</f>
        <v>2000</v>
      </c>
      <c r="E5" s="145">
        <f>+O5</f>
        <v>2011</v>
      </c>
      <c r="F5" s="146">
        <f>P5</f>
        <v>2011</v>
      </c>
      <c r="G5" s="148">
        <v>2010</v>
      </c>
      <c r="H5" s="145">
        <f>+G5</f>
        <v>2010</v>
      </c>
      <c r="I5" s="145">
        <f>+G5</f>
        <v>2010</v>
      </c>
      <c r="L5" s="125">
        <f>+V5</f>
        <v>1980</v>
      </c>
      <c r="M5" s="125">
        <f>+W5</f>
        <v>1990</v>
      </c>
      <c r="N5" s="125">
        <f>+X5</f>
        <v>2000</v>
      </c>
      <c r="O5" s="125">
        <f>+Y5</f>
        <v>2011</v>
      </c>
      <c r="P5" s="124">
        <f>Z5</f>
        <v>2011</v>
      </c>
      <c r="Q5" s="120">
        <v>2010</v>
      </c>
      <c r="R5" s="125">
        <f>+Q5</f>
        <v>2010</v>
      </c>
      <c r="S5" s="125">
        <f>+Q5</f>
        <v>2010</v>
      </c>
      <c r="T5" s="123"/>
      <c r="U5" s="119" t="s">
        <v>596</v>
      </c>
      <c r="V5" s="121">
        <v>1980</v>
      </c>
      <c r="W5" s="121">
        <v>1990</v>
      </c>
      <c r="X5" s="121">
        <v>2000</v>
      </c>
      <c r="Y5" s="121">
        <v>2011</v>
      </c>
      <c r="Z5" s="122">
        <v>2011</v>
      </c>
      <c r="AA5" s="122">
        <v>2011</v>
      </c>
      <c r="AB5" s="121">
        <v>2010</v>
      </c>
      <c r="AC5" s="253" t="s">
        <v>596</v>
      </c>
      <c r="AD5" s="101" t="s">
        <v>352</v>
      </c>
      <c r="AG5" s="99" t="s">
        <v>106</v>
      </c>
      <c r="AI5" s="99" t="s">
        <v>1117</v>
      </c>
    </row>
    <row r="6" spans="1:39" ht="18.5" x14ac:dyDescent="0.35">
      <c r="A6" s="149" t="str">
        <f>K6</f>
        <v>Country</v>
      </c>
      <c r="B6" s="148" t="s">
        <v>1095</v>
      </c>
      <c r="C6" s="148" t="s">
        <v>1095</v>
      </c>
      <c r="D6" s="148" t="s">
        <v>1095</v>
      </c>
      <c r="E6" s="148" t="s">
        <v>1095</v>
      </c>
      <c r="F6" s="150" t="s">
        <v>595</v>
      </c>
      <c r="G6" s="148" t="s">
        <v>594</v>
      </c>
      <c r="H6" s="148" t="s">
        <v>593</v>
      </c>
      <c r="I6" s="148" t="s">
        <v>1095</v>
      </c>
      <c r="K6" s="117" t="s">
        <v>109</v>
      </c>
      <c r="L6" s="148" t="s">
        <v>1095</v>
      </c>
      <c r="M6" s="148" t="s">
        <v>1095</v>
      </c>
      <c r="N6" s="148" t="s">
        <v>1095</v>
      </c>
      <c r="O6" s="148" t="s">
        <v>1095</v>
      </c>
      <c r="P6" s="150" t="s">
        <v>595</v>
      </c>
      <c r="Q6" s="148" t="s">
        <v>594</v>
      </c>
      <c r="R6" s="148" t="s">
        <v>593</v>
      </c>
      <c r="S6" s="148" t="s">
        <v>1095</v>
      </c>
      <c r="U6" s="119"/>
      <c r="V6" s="118"/>
      <c r="W6" s="118"/>
      <c r="X6" s="118"/>
      <c r="Y6" s="118"/>
      <c r="Z6" s="108">
        <v>459.47897</v>
      </c>
      <c r="AC6" s="253"/>
      <c r="AD6" s="122">
        <v>2011</v>
      </c>
      <c r="AF6" s="119"/>
      <c r="AG6" s="122">
        <v>2011</v>
      </c>
      <c r="AI6" s="99">
        <v>2010</v>
      </c>
    </row>
    <row r="7" spans="1:39" x14ac:dyDescent="0.35">
      <c r="A7" s="149" t="str">
        <f t="shared" ref="A7:A12" si="0">+K7</f>
        <v>North America</v>
      </c>
      <c r="B7" s="151">
        <f t="shared" ref="B7:B12" si="1">+L7</f>
        <v>5475.2860600000004</v>
      </c>
      <c r="C7" s="151">
        <f t="shared" ref="C7:C12" si="2">+M7</f>
        <v>5814.2541000000001</v>
      </c>
      <c r="D7" s="151">
        <f t="shared" ref="D7:D12" si="3">+N7</f>
        <v>6818.8005000000003</v>
      </c>
      <c r="E7" s="151">
        <f t="shared" ref="E7:E12" si="4">+O7</f>
        <v>6506.9600499999997</v>
      </c>
      <c r="F7" s="151">
        <f t="shared" ref="F7:F12" si="5">+P7</f>
        <v>6.8680000000000005E-2</v>
      </c>
      <c r="G7" s="151">
        <f t="shared" ref="G7:G12" si="6">+Q7</f>
        <v>15153.256910644837</v>
      </c>
      <c r="H7" s="152">
        <f t="shared" ref="H7:H12" si="7">+R7</f>
        <v>220635656.82359982</v>
      </c>
      <c r="I7" s="151">
        <f t="shared" ref="I7:I12" si="8">+S7</f>
        <v>94743.157396622002</v>
      </c>
      <c r="K7" s="117" t="str">
        <f>U7</f>
        <v>North America</v>
      </c>
      <c r="L7" s="135">
        <f>+V7</f>
        <v>5475.2860600000004</v>
      </c>
      <c r="M7" s="135">
        <f>+W7</f>
        <v>5814.2541000000001</v>
      </c>
      <c r="N7" s="135">
        <f>+X7</f>
        <v>6818.8005000000003</v>
      </c>
      <c r="O7" s="135">
        <f>+Y7</f>
        <v>6506.9600499999997</v>
      </c>
      <c r="P7" s="136">
        <f>+Z7</f>
        <v>6.8680000000000005E-2</v>
      </c>
      <c r="Q7" s="137">
        <f>AB7</f>
        <v>15153.256910644837</v>
      </c>
      <c r="R7" s="138">
        <f t="shared" ref="R7:R29" si="9">Q7/P7*1000</f>
        <v>220635656.82359982</v>
      </c>
      <c r="S7" s="139">
        <f t="shared" ref="S7:S29" si="10">O7/P7</f>
        <v>94743.157396622002</v>
      </c>
      <c r="T7" s="111"/>
      <c r="U7" s="110" t="s">
        <v>113</v>
      </c>
      <c r="V7" s="109">
        <v>5475.2860600000004</v>
      </c>
      <c r="W7" s="109">
        <v>5814.2541000000001</v>
      </c>
      <c r="X7" s="109">
        <v>6818.8005000000003</v>
      </c>
      <c r="Y7" s="109">
        <v>6506.9600499999997</v>
      </c>
      <c r="Z7" s="108">
        <v>6.8680000000000005E-2</v>
      </c>
      <c r="AA7" s="108">
        <v>0.42941000000000001</v>
      </c>
      <c r="AB7" s="100">
        <f t="shared" ref="AB7:AB70" si="11">Y7/AA7</f>
        <v>15153.256910644837</v>
      </c>
      <c r="AC7" s="110" t="s">
        <v>113</v>
      </c>
      <c r="AD7" s="108">
        <v>6506.9600499999997</v>
      </c>
      <c r="AF7" s="110" t="s">
        <v>113</v>
      </c>
      <c r="AG7" s="108">
        <v>459.47897</v>
      </c>
      <c r="AH7" s="99" t="str">
        <f>IF(AF7=U7,"","no")</f>
        <v/>
      </c>
    </row>
    <row r="8" spans="1:39" x14ac:dyDescent="0.35">
      <c r="A8" s="149" t="str">
        <f t="shared" si="0"/>
        <v>Canada</v>
      </c>
      <c r="B8" s="151">
        <f t="shared" si="1"/>
        <v>457.44873999999999</v>
      </c>
      <c r="C8" s="151">
        <f t="shared" si="2"/>
        <v>470.58681999999999</v>
      </c>
      <c r="D8" s="151">
        <f t="shared" si="3"/>
        <v>573.27293999999995</v>
      </c>
      <c r="E8" s="151">
        <f t="shared" si="4"/>
        <v>552.55651999999998</v>
      </c>
      <c r="F8" s="151">
        <f t="shared" si="5"/>
        <v>5.7669999999999999E-2</v>
      </c>
      <c r="G8" s="151">
        <f t="shared" si="6"/>
        <v>1210.9766157487563</v>
      </c>
      <c r="H8" s="152">
        <f t="shared" si="7"/>
        <v>20998380.713521004</v>
      </c>
      <c r="I8" s="151">
        <f t="shared" si="8"/>
        <v>9581.3511357724983</v>
      </c>
      <c r="K8" s="117" t="str">
        <f>U9</f>
        <v>Canada</v>
      </c>
      <c r="L8" s="116">
        <f>+V9</f>
        <v>457.44873999999999</v>
      </c>
      <c r="M8" s="116">
        <f>+W9</f>
        <v>470.58681999999999</v>
      </c>
      <c r="N8" s="116">
        <f>+X9</f>
        <v>573.27293999999995</v>
      </c>
      <c r="O8" s="116">
        <f>+Y9</f>
        <v>552.55651999999998</v>
      </c>
      <c r="P8" s="115">
        <f>+Z9</f>
        <v>5.7669999999999999E-2</v>
      </c>
      <c r="Q8" s="114">
        <f>AB9</f>
        <v>1210.9766157487563</v>
      </c>
      <c r="R8" s="113">
        <f t="shared" si="9"/>
        <v>20998380.713521004</v>
      </c>
      <c r="S8" s="112">
        <f t="shared" si="10"/>
        <v>9581.3511357724983</v>
      </c>
      <c r="T8" s="111"/>
      <c r="U8" s="110" t="s">
        <v>562</v>
      </c>
      <c r="V8" s="109">
        <v>0.53069999999999995</v>
      </c>
      <c r="W8" s="109">
        <v>0.65741000000000005</v>
      </c>
      <c r="X8" s="109">
        <v>0.52154</v>
      </c>
      <c r="Y8" s="109">
        <v>0.77688000000000001</v>
      </c>
      <c r="Z8" s="108">
        <v>34.030589999999997</v>
      </c>
      <c r="AA8" s="108">
        <v>0.15128</v>
      </c>
      <c r="AB8" s="100">
        <f t="shared" si="11"/>
        <v>5.1353781068217872</v>
      </c>
      <c r="AC8" s="110" t="s">
        <v>562</v>
      </c>
      <c r="AD8" s="108">
        <v>0.77688000000000001</v>
      </c>
      <c r="AE8" s="101" t="str">
        <f t="shared" ref="AE8:AE71" si="12">IF(AC8=U8,"","no")</f>
        <v/>
      </c>
      <c r="AF8" s="110" t="s">
        <v>562</v>
      </c>
      <c r="AG8" s="108">
        <v>6.8680000000000005E-2</v>
      </c>
      <c r="AH8" s="101" t="str">
        <f t="shared" ref="AH8:AH71" si="13">IF(AF8=U8,"","no")</f>
        <v/>
      </c>
    </row>
    <row r="9" spans="1:39" x14ac:dyDescent="0.35">
      <c r="A9" s="149" t="str">
        <f t="shared" si="0"/>
        <v>Mexico</v>
      </c>
      <c r="B9" s="151">
        <f t="shared" si="1"/>
        <v>240.33394999999999</v>
      </c>
      <c r="C9" s="151">
        <f t="shared" si="2"/>
        <v>302.15757000000002</v>
      </c>
      <c r="D9" s="151">
        <f t="shared" si="3"/>
        <v>383.04507000000001</v>
      </c>
      <c r="E9" s="151">
        <f t="shared" si="4"/>
        <v>462.29291999999998</v>
      </c>
      <c r="F9" s="151">
        <f t="shared" si="5"/>
        <v>5.8900000000000003E-3</v>
      </c>
      <c r="G9" s="151">
        <f t="shared" si="6"/>
        <v>961.82781291611184</v>
      </c>
      <c r="H9" s="152">
        <f t="shared" si="7"/>
        <v>163298440.22344854</v>
      </c>
      <c r="I9" s="151">
        <f t="shared" si="8"/>
        <v>78487.762308998295</v>
      </c>
      <c r="K9" s="117" t="str">
        <f>U11</f>
        <v>Mexico</v>
      </c>
      <c r="L9" s="116">
        <f>+V11</f>
        <v>240.33394999999999</v>
      </c>
      <c r="M9" s="116">
        <f>+W11</f>
        <v>302.15757000000002</v>
      </c>
      <c r="N9" s="116">
        <f>+X11</f>
        <v>383.04507000000001</v>
      </c>
      <c r="O9" s="116">
        <f>+Y11</f>
        <v>462.29291999999998</v>
      </c>
      <c r="P9" s="115">
        <f>+Z11</f>
        <v>5.8900000000000003E-3</v>
      </c>
      <c r="Q9" s="114">
        <f>AB11</f>
        <v>961.82781291611184</v>
      </c>
      <c r="R9" s="113">
        <f t="shared" si="9"/>
        <v>163298440.22344854</v>
      </c>
      <c r="S9" s="112">
        <f t="shared" si="10"/>
        <v>78487.762308998295</v>
      </c>
      <c r="T9" s="111"/>
      <c r="U9" s="110" t="s">
        <v>110</v>
      </c>
      <c r="V9" s="109">
        <v>457.44873999999999</v>
      </c>
      <c r="W9" s="109">
        <v>470.58681999999999</v>
      </c>
      <c r="X9" s="109">
        <v>573.27293999999995</v>
      </c>
      <c r="Y9" s="109">
        <v>552.55651999999998</v>
      </c>
      <c r="Z9" s="108">
        <v>5.7669999999999999E-2</v>
      </c>
      <c r="AA9" s="108">
        <v>0.45628999999999997</v>
      </c>
      <c r="AB9" s="100">
        <f t="shared" si="11"/>
        <v>1210.9766157487563</v>
      </c>
      <c r="AC9" s="110" t="s">
        <v>110</v>
      </c>
      <c r="AD9" s="108">
        <v>552.55651999999998</v>
      </c>
      <c r="AE9" s="101" t="str">
        <f t="shared" si="12"/>
        <v/>
      </c>
      <c r="AF9" s="110" t="s">
        <v>110</v>
      </c>
      <c r="AG9" s="108">
        <v>34.030589999999997</v>
      </c>
      <c r="AH9" s="101" t="str">
        <f t="shared" si="13"/>
        <v/>
      </c>
    </row>
    <row r="10" spans="1:39" ht="14" customHeight="1" x14ac:dyDescent="0.35">
      <c r="A10" s="149" t="str">
        <f t="shared" si="0"/>
        <v>United States</v>
      </c>
      <c r="B10" s="151">
        <f t="shared" si="1"/>
        <v>4776.82557</v>
      </c>
      <c r="C10" s="151">
        <f t="shared" si="2"/>
        <v>5040.5914000000002</v>
      </c>
      <c r="D10" s="151">
        <f t="shared" si="3"/>
        <v>5861.3235800000002</v>
      </c>
      <c r="E10" s="151">
        <f t="shared" si="4"/>
        <v>5490.63123</v>
      </c>
      <c r="F10" s="151">
        <f t="shared" si="5"/>
        <v>477.59348</v>
      </c>
      <c r="G10" s="151">
        <f t="shared" si="6"/>
        <v>12964.890743801654</v>
      </c>
      <c r="H10" s="152">
        <f t="shared" si="7"/>
        <v>27146.289232846426</v>
      </c>
      <c r="I10" s="151">
        <f t="shared" si="8"/>
        <v>11.49645349011046</v>
      </c>
      <c r="K10" s="117" t="str">
        <f>U13</f>
        <v>United States</v>
      </c>
      <c r="L10" s="116">
        <f t="shared" ref="L10:P11" si="14">+V13</f>
        <v>4776.82557</v>
      </c>
      <c r="M10" s="116">
        <f t="shared" si="14"/>
        <v>5040.5914000000002</v>
      </c>
      <c r="N10" s="116">
        <f t="shared" si="14"/>
        <v>5861.3235800000002</v>
      </c>
      <c r="O10" s="116">
        <f t="shared" si="14"/>
        <v>5490.63123</v>
      </c>
      <c r="P10" s="115">
        <f t="shared" si="14"/>
        <v>477.59348</v>
      </c>
      <c r="Q10" s="114">
        <f>AB13</f>
        <v>12964.890743801654</v>
      </c>
      <c r="R10" s="113">
        <f t="shared" si="9"/>
        <v>27146.289232846426</v>
      </c>
      <c r="S10" s="112">
        <f t="shared" si="10"/>
        <v>11.49645349011046</v>
      </c>
      <c r="T10" s="111"/>
      <c r="U10" s="110" t="s">
        <v>563</v>
      </c>
      <c r="V10" s="109" t="s">
        <v>590</v>
      </c>
      <c r="W10" s="109" t="s">
        <v>590</v>
      </c>
      <c r="X10" s="109">
        <v>0.56108000000000002</v>
      </c>
      <c r="Y10" s="109">
        <v>0.61107999999999996</v>
      </c>
      <c r="Z10" s="108">
        <v>113.72423000000001</v>
      </c>
      <c r="AA10" s="108" t="s">
        <v>590</v>
      </c>
      <c r="AB10" s="100" t="e">
        <f t="shared" si="11"/>
        <v>#VALUE!</v>
      </c>
      <c r="AC10" s="110" t="s">
        <v>563</v>
      </c>
      <c r="AD10" s="108">
        <v>0.61107999999999996</v>
      </c>
      <c r="AE10" s="101" t="str">
        <f t="shared" si="12"/>
        <v/>
      </c>
      <c r="AF10" s="110" t="s">
        <v>563</v>
      </c>
      <c r="AG10" s="108">
        <v>5.7669999999999999E-2</v>
      </c>
      <c r="AH10" s="101" t="str">
        <f t="shared" si="13"/>
        <v/>
      </c>
    </row>
    <row r="11" spans="1:39" ht="30.5" x14ac:dyDescent="0.35">
      <c r="A11" s="149" t="str">
        <f t="shared" si="0"/>
        <v>Central &amp; South America</v>
      </c>
      <c r="B11" s="151">
        <f t="shared" si="1"/>
        <v>627.36562000000004</v>
      </c>
      <c r="C11" s="151">
        <f t="shared" si="2"/>
        <v>716.32930999999996</v>
      </c>
      <c r="D11" s="151">
        <f t="shared" si="3"/>
        <v>991.32611999999995</v>
      </c>
      <c r="E11" s="151">
        <f t="shared" si="4"/>
        <v>1339.47361</v>
      </c>
      <c r="F11" s="151" t="str">
        <f t="shared" si="5"/>
        <v>NA</v>
      </c>
      <c r="G11" s="151">
        <f t="shared" si="6"/>
        <v>2582.2173577776493</v>
      </c>
      <c r="H11" s="152" t="e">
        <f t="shared" si="7"/>
        <v>#VALUE!</v>
      </c>
      <c r="I11" s="151" t="e">
        <f t="shared" si="8"/>
        <v>#VALUE!</v>
      </c>
      <c r="K11" s="117" t="str">
        <f>U14</f>
        <v>Central &amp; South America</v>
      </c>
      <c r="L11" s="135">
        <f t="shared" si="14"/>
        <v>627.36562000000004</v>
      </c>
      <c r="M11" s="135">
        <f t="shared" si="14"/>
        <v>716.32930999999996</v>
      </c>
      <c r="N11" s="135">
        <f t="shared" si="14"/>
        <v>991.32611999999995</v>
      </c>
      <c r="O11" s="135">
        <f t="shared" si="14"/>
        <v>1339.47361</v>
      </c>
      <c r="P11" s="136" t="str">
        <f t="shared" si="14"/>
        <v>NA</v>
      </c>
      <c r="Q11" s="137">
        <f>AB14</f>
        <v>2582.2173577776493</v>
      </c>
      <c r="R11" s="138" t="e">
        <f t="shared" si="9"/>
        <v>#VALUE!</v>
      </c>
      <c r="S11" s="139" t="e">
        <f t="shared" si="10"/>
        <v>#VALUE!</v>
      </c>
      <c r="T11" s="111"/>
      <c r="U11" s="110" t="s">
        <v>111</v>
      </c>
      <c r="V11" s="109">
        <v>240.33394999999999</v>
      </c>
      <c r="W11" s="109">
        <v>302.15757000000002</v>
      </c>
      <c r="X11" s="109">
        <v>383.04507000000001</v>
      </c>
      <c r="Y11" s="109">
        <v>462.29291999999998</v>
      </c>
      <c r="Z11" s="108">
        <v>5.8900000000000003E-3</v>
      </c>
      <c r="AA11" s="108">
        <v>0.48064000000000001</v>
      </c>
      <c r="AB11" s="100">
        <f t="shared" si="11"/>
        <v>961.82781291611184</v>
      </c>
      <c r="AC11" s="110" t="s">
        <v>111</v>
      </c>
      <c r="AD11" s="108">
        <v>462.29291999999998</v>
      </c>
      <c r="AE11" s="101" t="str">
        <f t="shared" si="12"/>
        <v/>
      </c>
      <c r="AF11" s="110" t="s">
        <v>111</v>
      </c>
      <c r="AG11" s="108">
        <v>113.72423000000001</v>
      </c>
      <c r="AH11" s="101" t="str">
        <f t="shared" si="13"/>
        <v/>
      </c>
    </row>
    <row r="12" spans="1:39" x14ac:dyDescent="0.35">
      <c r="A12" s="149" t="str">
        <f t="shared" si="0"/>
        <v>Argentina</v>
      </c>
      <c r="B12" s="151">
        <f t="shared" si="1"/>
        <v>92.836470000000006</v>
      </c>
      <c r="C12" s="151">
        <f t="shared" si="2"/>
        <v>102.66202</v>
      </c>
      <c r="D12" s="151">
        <f t="shared" si="3"/>
        <v>138.37737999999999</v>
      </c>
      <c r="E12" s="151">
        <f t="shared" si="4"/>
        <v>190.60525999999999</v>
      </c>
      <c r="F12" s="151">
        <f t="shared" si="5"/>
        <v>0.10611</v>
      </c>
      <c r="G12" s="151">
        <f t="shared" si="6"/>
        <v>280.78910462272768</v>
      </c>
      <c r="H12" s="152">
        <f t="shared" si="7"/>
        <v>2646207.752546675</v>
      </c>
      <c r="I12" s="151">
        <f t="shared" si="8"/>
        <v>1796.2987465837339</v>
      </c>
      <c r="K12" s="117" t="str">
        <f>U17</f>
        <v>Argentina</v>
      </c>
      <c r="L12" s="116">
        <f>+V17</f>
        <v>92.836470000000006</v>
      </c>
      <c r="M12" s="116">
        <f>+W17</f>
        <v>102.66202</v>
      </c>
      <c r="N12" s="116">
        <f>+X17</f>
        <v>138.37737999999999</v>
      </c>
      <c r="O12" s="116">
        <f>+Y17</f>
        <v>190.60525999999999</v>
      </c>
      <c r="P12" s="115">
        <f>+Z17</f>
        <v>0.10611</v>
      </c>
      <c r="Q12" s="114">
        <f>AB17</f>
        <v>280.78910462272768</v>
      </c>
      <c r="R12" s="113">
        <f t="shared" si="9"/>
        <v>2646207.752546675</v>
      </c>
      <c r="S12" s="112">
        <f t="shared" si="10"/>
        <v>1796.2987465837339</v>
      </c>
      <c r="T12" s="111"/>
      <c r="U12" s="110" t="s">
        <v>541</v>
      </c>
      <c r="V12" s="109">
        <v>0.14710000000000001</v>
      </c>
      <c r="W12" s="109">
        <v>0.26089000000000001</v>
      </c>
      <c r="X12" s="109">
        <v>7.6280000000000001E-2</v>
      </c>
      <c r="Y12" s="109">
        <v>9.1429999999999997E-2</v>
      </c>
      <c r="Z12" s="108">
        <v>311.59192000000002</v>
      </c>
      <c r="AA12" s="108" t="s">
        <v>590</v>
      </c>
      <c r="AB12" s="100" t="e">
        <f t="shared" si="11"/>
        <v>#VALUE!</v>
      </c>
      <c r="AC12" s="110" t="s">
        <v>541</v>
      </c>
      <c r="AD12" s="108">
        <v>9.1429999999999997E-2</v>
      </c>
      <c r="AE12" s="101" t="str">
        <f t="shared" si="12"/>
        <v/>
      </c>
      <c r="AF12" s="110" t="s">
        <v>541</v>
      </c>
      <c r="AG12" s="108">
        <v>5.8900000000000003E-3</v>
      </c>
      <c r="AH12" s="101" t="str">
        <f t="shared" si="13"/>
        <v/>
      </c>
    </row>
    <row r="13" spans="1:39" x14ac:dyDescent="0.35">
      <c r="A13" s="149" t="str">
        <f t="shared" ref="A13:I16" si="15">+K14</f>
        <v>Brazil</v>
      </c>
      <c r="B13" s="151">
        <f t="shared" si="15"/>
        <v>185.66367</v>
      </c>
      <c r="C13" s="151">
        <f t="shared" si="15"/>
        <v>237.3323</v>
      </c>
      <c r="D13" s="151">
        <f t="shared" si="15"/>
        <v>344.35816</v>
      </c>
      <c r="E13" s="151">
        <f t="shared" si="15"/>
        <v>475.40926000000002</v>
      </c>
      <c r="F13" s="151">
        <f t="shared" si="15"/>
        <v>5.1380000000000002E-2</v>
      </c>
      <c r="G13" s="151">
        <f t="shared" si="15"/>
        <v>1149.3865383685509</v>
      </c>
      <c r="H13" s="152">
        <f t="shared" si="15"/>
        <v>22370310.205693867</v>
      </c>
      <c r="I13" s="151">
        <f t="shared" si="15"/>
        <v>9252.8077072790966</v>
      </c>
      <c r="K13" s="117" t="str">
        <f>U22</f>
        <v>Bolivia</v>
      </c>
      <c r="L13" s="116">
        <f t="shared" ref="L13:P14" si="16">+V22</f>
        <v>4.4629000000000003</v>
      </c>
      <c r="M13" s="116">
        <f t="shared" si="16"/>
        <v>5.0678099999999997</v>
      </c>
      <c r="N13" s="116">
        <f t="shared" si="16"/>
        <v>9.2563800000000001</v>
      </c>
      <c r="O13" s="116">
        <f t="shared" si="16"/>
        <v>13.97625</v>
      </c>
      <c r="P13" s="115">
        <f t="shared" si="16"/>
        <v>197.59549999999999</v>
      </c>
      <c r="Q13" s="114">
        <f>AB22</f>
        <v>12.561905104306168</v>
      </c>
      <c r="R13" s="113">
        <f t="shared" si="9"/>
        <v>63.573842037425806</v>
      </c>
      <c r="S13" s="112">
        <f t="shared" si="10"/>
        <v>7.0731620912419566E-2</v>
      </c>
      <c r="T13" s="111"/>
      <c r="U13" s="110" t="s">
        <v>112</v>
      </c>
      <c r="V13" s="109">
        <v>4776.82557</v>
      </c>
      <c r="W13" s="109">
        <v>5040.5914000000002</v>
      </c>
      <c r="X13" s="109">
        <v>5861.3235800000002</v>
      </c>
      <c r="Y13" s="109">
        <v>5490.63123</v>
      </c>
      <c r="Z13" s="108">
        <v>477.59348</v>
      </c>
      <c r="AA13" s="108">
        <v>0.42349999999999999</v>
      </c>
      <c r="AB13" s="100">
        <f t="shared" si="11"/>
        <v>12964.890743801654</v>
      </c>
      <c r="AC13" s="110" t="s">
        <v>112</v>
      </c>
      <c r="AD13" s="108">
        <v>5490.63123</v>
      </c>
      <c r="AE13" s="101" t="str">
        <f t="shared" si="12"/>
        <v/>
      </c>
      <c r="AF13" s="110" t="s">
        <v>112</v>
      </c>
      <c r="AG13" s="108">
        <v>311.59192000000002</v>
      </c>
      <c r="AH13" s="101" t="str">
        <f t="shared" si="13"/>
        <v/>
      </c>
    </row>
    <row r="14" spans="1:39" x14ac:dyDescent="0.35">
      <c r="A14" s="149" t="str">
        <f t="shared" si="15"/>
        <v>Chile</v>
      </c>
      <c r="B14" s="151">
        <f t="shared" si="15"/>
        <v>23.85294</v>
      </c>
      <c r="C14" s="151">
        <f t="shared" si="15"/>
        <v>31.866019999999999</v>
      </c>
      <c r="D14" s="151">
        <f t="shared" si="15"/>
        <v>54.62238</v>
      </c>
      <c r="E14" s="151">
        <f t="shared" si="15"/>
        <v>80.096320000000006</v>
      </c>
      <c r="F14" s="151">
        <f t="shared" si="15"/>
        <v>44.725540000000002</v>
      </c>
      <c r="G14" s="151">
        <f t="shared" si="15"/>
        <v>162.3190191508765</v>
      </c>
      <c r="H14" s="152">
        <f t="shared" si="15"/>
        <v>3629.2243570648111</v>
      </c>
      <c r="I14" s="151">
        <f t="shared" si="15"/>
        <v>1.790840758993631</v>
      </c>
      <c r="K14" s="117" t="str">
        <f>U23</f>
        <v>Brazil</v>
      </c>
      <c r="L14" s="116">
        <f t="shared" si="16"/>
        <v>185.66367</v>
      </c>
      <c r="M14" s="116">
        <f t="shared" si="16"/>
        <v>237.3323</v>
      </c>
      <c r="N14" s="116">
        <f t="shared" si="16"/>
        <v>344.35816</v>
      </c>
      <c r="O14" s="116">
        <f t="shared" si="16"/>
        <v>475.40926000000002</v>
      </c>
      <c r="P14" s="115">
        <f t="shared" si="16"/>
        <v>5.1380000000000002E-2</v>
      </c>
      <c r="Q14" s="114">
        <f>AB23</f>
        <v>1149.3865383685509</v>
      </c>
      <c r="R14" s="113">
        <f t="shared" si="9"/>
        <v>22370310.205693867</v>
      </c>
      <c r="S14" s="112">
        <f t="shared" si="10"/>
        <v>9252.8077072790966</v>
      </c>
      <c r="T14" s="111"/>
      <c r="U14" s="110" t="s">
        <v>542</v>
      </c>
      <c r="V14" s="109">
        <v>627.36562000000004</v>
      </c>
      <c r="W14" s="109">
        <v>716.32930999999996</v>
      </c>
      <c r="X14" s="109">
        <v>991.32611999999995</v>
      </c>
      <c r="Y14" s="109">
        <v>1339.47361</v>
      </c>
      <c r="Z14" s="108" t="s">
        <v>590</v>
      </c>
      <c r="AA14" s="108">
        <v>0.51873000000000002</v>
      </c>
      <c r="AB14" s="100">
        <f t="shared" si="11"/>
        <v>2582.2173577776493</v>
      </c>
      <c r="AC14" s="110" t="s">
        <v>542</v>
      </c>
      <c r="AD14" s="108">
        <v>1339.47361</v>
      </c>
      <c r="AE14" s="101" t="str">
        <f t="shared" si="12"/>
        <v/>
      </c>
      <c r="AF14" s="110" t="s">
        <v>542</v>
      </c>
      <c r="AG14" s="108">
        <v>477.59348</v>
      </c>
      <c r="AH14" s="101" t="str">
        <f t="shared" si="13"/>
        <v/>
      </c>
    </row>
    <row r="15" spans="1:39" x14ac:dyDescent="0.35">
      <c r="A15" s="149" t="str">
        <f t="shared" si="15"/>
        <v>Colombia</v>
      </c>
      <c r="B15" s="151">
        <f t="shared" si="15"/>
        <v>39.65804</v>
      </c>
      <c r="C15" s="151">
        <f t="shared" si="15"/>
        <v>41.424889999999998</v>
      </c>
      <c r="D15" s="151">
        <f t="shared" si="15"/>
        <v>57.694600000000001</v>
      </c>
      <c r="E15" s="151">
        <f t="shared" si="15"/>
        <v>71.153710000000004</v>
      </c>
      <c r="F15" s="151">
        <f t="shared" si="15"/>
        <v>4.5765599999999997</v>
      </c>
      <c r="G15" s="151">
        <f t="shared" si="15"/>
        <v>178.76019997990153</v>
      </c>
      <c r="H15" s="152">
        <f t="shared" si="15"/>
        <v>39059.948952903826</v>
      </c>
      <c r="I15" s="151">
        <f t="shared" si="15"/>
        <v>15.547422081213838</v>
      </c>
      <c r="K15" s="117" t="str">
        <f>U25</f>
        <v>Chile</v>
      </c>
      <c r="L15" s="116">
        <f t="shared" ref="L15:P16" si="17">+V25</f>
        <v>23.85294</v>
      </c>
      <c r="M15" s="116">
        <f t="shared" si="17"/>
        <v>31.866019999999999</v>
      </c>
      <c r="N15" s="116">
        <f t="shared" si="17"/>
        <v>54.62238</v>
      </c>
      <c r="O15" s="116">
        <f t="shared" si="17"/>
        <v>80.096320000000006</v>
      </c>
      <c r="P15" s="115">
        <f t="shared" si="17"/>
        <v>44.725540000000002</v>
      </c>
      <c r="Q15" s="114">
        <f>AB25</f>
        <v>162.3190191508765</v>
      </c>
      <c r="R15" s="113">
        <f t="shared" si="9"/>
        <v>3629.2243570648111</v>
      </c>
      <c r="S15" s="112">
        <f t="shared" si="10"/>
        <v>1.790840758993631</v>
      </c>
      <c r="T15" s="111"/>
      <c r="U15" s="110" t="s">
        <v>564</v>
      </c>
      <c r="V15" s="109">
        <v>0.14063999999999999</v>
      </c>
      <c r="W15" s="109">
        <v>0.21084</v>
      </c>
      <c r="X15" s="109">
        <v>0.22886999999999999</v>
      </c>
      <c r="Y15" s="109">
        <v>0.13689000000000001</v>
      </c>
      <c r="Z15" s="108">
        <v>8.788E-2</v>
      </c>
      <c r="AA15" s="108" t="s">
        <v>590</v>
      </c>
      <c r="AB15" s="100" t="e">
        <f t="shared" si="11"/>
        <v>#VALUE!</v>
      </c>
      <c r="AC15" s="110" t="s">
        <v>564</v>
      </c>
      <c r="AD15" s="108">
        <v>0.13689000000000001</v>
      </c>
      <c r="AE15" s="101" t="str">
        <f t="shared" si="12"/>
        <v/>
      </c>
      <c r="AF15" s="110" t="s">
        <v>564</v>
      </c>
      <c r="AG15" s="108" t="s">
        <v>590</v>
      </c>
      <c r="AH15" s="101" t="str">
        <f t="shared" si="13"/>
        <v/>
      </c>
    </row>
    <row r="16" spans="1:39" x14ac:dyDescent="0.35">
      <c r="A16" s="149" t="str">
        <f t="shared" si="15"/>
        <v>Cuba</v>
      </c>
      <c r="B16" s="151">
        <f t="shared" si="15"/>
        <v>29.94117</v>
      </c>
      <c r="C16" s="151">
        <f t="shared" si="15"/>
        <v>35.380479999999999</v>
      </c>
      <c r="D16" s="151">
        <f t="shared" si="15"/>
        <v>32.860639999999997</v>
      </c>
      <c r="E16" s="151">
        <f t="shared" si="15"/>
        <v>28.410430000000002</v>
      </c>
      <c r="F16" s="151">
        <f t="shared" si="15"/>
        <v>7.2969999999999993E-2</v>
      </c>
      <c r="G16" s="151">
        <f t="shared" si="15"/>
        <v>50.797314452251968</v>
      </c>
      <c r="H16" s="152">
        <f t="shared" si="15"/>
        <v>696139.70744486735</v>
      </c>
      <c r="I16" s="151">
        <f t="shared" si="15"/>
        <v>389.34397697683988</v>
      </c>
      <c r="K16" s="117" t="str">
        <f>U26</f>
        <v>Colombia</v>
      </c>
      <c r="L16" s="116">
        <f t="shared" si="17"/>
        <v>39.65804</v>
      </c>
      <c r="M16" s="116">
        <f t="shared" si="17"/>
        <v>41.424889999999998</v>
      </c>
      <c r="N16" s="116">
        <f t="shared" si="17"/>
        <v>57.694600000000001</v>
      </c>
      <c r="O16" s="116">
        <f t="shared" si="17"/>
        <v>71.153710000000004</v>
      </c>
      <c r="P16" s="115">
        <f t="shared" si="17"/>
        <v>4.5765599999999997</v>
      </c>
      <c r="Q16" s="114">
        <f>AB26</f>
        <v>178.76019997990153</v>
      </c>
      <c r="R16" s="113">
        <f t="shared" si="9"/>
        <v>39059.948952903826</v>
      </c>
      <c r="S16" s="112">
        <f t="shared" si="10"/>
        <v>15.547422081213838</v>
      </c>
      <c r="T16" s="111"/>
      <c r="U16" s="110" t="s">
        <v>204</v>
      </c>
      <c r="V16" s="109">
        <v>0.40738000000000002</v>
      </c>
      <c r="W16" s="109">
        <v>0.42269000000000001</v>
      </c>
      <c r="X16" s="109">
        <v>0.51092000000000004</v>
      </c>
      <c r="Y16" s="109">
        <v>0.73158999999999996</v>
      </c>
      <c r="Z16" s="108">
        <v>41.769730000000003</v>
      </c>
      <c r="AA16" s="108">
        <v>0.75080000000000002</v>
      </c>
      <c r="AB16" s="100">
        <f t="shared" si="11"/>
        <v>0.97441395844432599</v>
      </c>
      <c r="AC16" s="110" t="s">
        <v>204</v>
      </c>
      <c r="AD16" s="108">
        <v>0.73158999999999996</v>
      </c>
      <c r="AE16" s="101" t="str">
        <f t="shared" si="12"/>
        <v/>
      </c>
      <c r="AF16" s="110" t="s">
        <v>204</v>
      </c>
      <c r="AG16" s="108">
        <v>8.788E-2</v>
      </c>
      <c r="AH16" s="101" t="str">
        <f t="shared" si="13"/>
        <v/>
      </c>
    </row>
    <row r="17" spans="1:34" ht="14" customHeight="1" x14ac:dyDescent="0.35">
      <c r="A17" s="149" t="str">
        <f t="shared" ref="A17:I20" si="18">+K19</f>
        <v>Peru</v>
      </c>
      <c r="B17" s="151">
        <f t="shared" si="18"/>
        <v>21.829989999999999</v>
      </c>
      <c r="C17" s="151">
        <f t="shared" si="18"/>
        <v>20.095320000000001</v>
      </c>
      <c r="D17" s="151">
        <f t="shared" si="18"/>
        <v>26.918510000000001</v>
      </c>
      <c r="E17" s="151">
        <f t="shared" si="18"/>
        <v>37.709980000000002</v>
      </c>
      <c r="F17" s="151">
        <f t="shared" si="18"/>
        <v>3.70669</v>
      </c>
      <c r="G17" s="151">
        <f t="shared" si="18"/>
        <v>100.31384337093</v>
      </c>
      <c r="H17" s="152">
        <f t="shared" si="18"/>
        <v>27062.916880270539</v>
      </c>
      <c r="I17" s="151">
        <f t="shared" si="18"/>
        <v>10.1734917136313</v>
      </c>
      <c r="K17" s="117" t="str">
        <f>U28</f>
        <v>Cuba</v>
      </c>
      <c r="L17" s="116">
        <f>+V28</f>
        <v>29.94117</v>
      </c>
      <c r="M17" s="116">
        <f>+W28</f>
        <v>35.380479999999999</v>
      </c>
      <c r="N17" s="116">
        <f>+X28</f>
        <v>32.860639999999997</v>
      </c>
      <c r="O17" s="116">
        <f>+Y28</f>
        <v>28.410430000000002</v>
      </c>
      <c r="P17" s="115">
        <f>+Z28</f>
        <v>7.2969999999999993E-2</v>
      </c>
      <c r="Q17" s="114">
        <f>AB28</f>
        <v>50.797314452251968</v>
      </c>
      <c r="R17" s="113">
        <f t="shared" si="9"/>
        <v>696139.70744486735</v>
      </c>
      <c r="S17" s="112">
        <f t="shared" si="10"/>
        <v>389.34397697683988</v>
      </c>
      <c r="T17" s="111"/>
      <c r="U17" s="110" t="s">
        <v>114</v>
      </c>
      <c r="V17" s="109">
        <v>92.836470000000006</v>
      </c>
      <c r="W17" s="109">
        <v>102.66202</v>
      </c>
      <c r="X17" s="109">
        <v>138.37737999999999</v>
      </c>
      <c r="Y17" s="109">
        <v>190.60525999999999</v>
      </c>
      <c r="Z17" s="108">
        <v>0.10611</v>
      </c>
      <c r="AA17" s="108">
        <v>0.67881999999999998</v>
      </c>
      <c r="AB17" s="100">
        <f t="shared" si="11"/>
        <v>280.78910462272768</v>
      </c>
      <c r="AC17" s="110" t="s">
        <v>114</v>
      </c>
      <c r="AD17" s="108">
        <v>190.60525999999999</v>
      </c>
      <c r="AE17" s="101" t="str">
        <f t="shared" si="12"/>
        <v/>
      </c>
      <c r="AF17" s="110" t="s">
        <v>114</v>
      </c>
      <c r="AG17" s="108">
        <v>41.769730000000003</v>
      </c>
      <c r="AH17" s="101" t="str">
        <f t="shared" si="13"/>
        <v/>
      </c>
    </row>
    <row r="18" spans="1:34" ht="30.5" x14ac:dyDescent="0.35">
      <c r="A18" s="149" t="str">
        <f t="shared" si="18"/>
        <v>Trinidad and Tobago</v>
      </c>
      <c r="B18" s="151">
        <f t="shared" si="18"/>
        <v>10.558109999999999</v>
      </c>
      <c r="C18" s="151">
        <f t="shared" si="18"/>
        <v>18.18525</v>
      </c>
      <c r="D18" s="151">
        <f t="shared" si="18"/>
        <v>27.510619999999999</v>
      </c>
      <c r="E18" s="151">
        <f t="shared" si="18"/>
        <v>52.068570000000001</v>
      </c>
      <c r="F18" s="151">
        <f t="shared" si="18"/>
        <v>4.4819999999999999E-2</v>
      </c>
      <c r="G18" s="151">
        <f t="shared" si="18"/>
        <v>20.651641229851506</v>
      </c>
      <c r="H18" s="152">
        <f t="shared" si="18"/>
        <v>460768.4344009707</v>
      </c>
      <c r="I18" s="151">
        <f t="shared" si="18"/>
        <v>1161.7262382864792</v>
      </c>
      <c r="K18" s="117" t="str">
        <f>U31</f>
        <v>Ecuador</v>
      </c>
      <c r="L18" s="116">
        <f>+V31</f>
        <v>12.78431</v>
      </c>
      <c r="M18" s="116">
        <f>+W31</f>
        <v>15.087540000000001</v>
      </c>
      <c r="N18" s="116">
        <f>+X31</f>
        <v>20.08079</v>
      </c>
      <c r="O18" s="116">
        <f>+Y31</f>
        <v>29.131920000000001</v>
      </c>
      <c r="P18" s="115">
        <f>+Z31</f>
        <v>6.0717699999999999</v>
      </c>
      <c r="Q18" s="114">
        <f>AB31</f>
        <v>51.659668038019582</v>
      </c>
      <c r="R18" s="113">
        <f t="shared" si="9"/>
        <v>8508.1727466652355</v>
      </c>
      <c r="S18" s="112">
        <f t="shared" si="10"/>
        <v>4.7979287752994599</v>
      </c>
      <c r="T18" s="111"/>
      <c r="U18" s="110" t="s">
        <v>565</v>
      </c>
      <c r="V18" s="109" t="s">
        <v>545</v>
      </c>
      <c r="W18" s="109">
        <v>0.59409999999999996</v>
      </c>
      <c r="X18" s="109">
        <v>0.95774999999999999</v>
      </c>
      <c r="Y18" s="109">
        <v>1.2369600000000001</v>
      </c>
      <c r="Z18" s="108">
        <v>0.31330999999999998</v>
      </c>
      <c r="AA18" s="108">
        <v>0.55857999999999997</v>
      </c>
      <c r="AB18" s="100">
        <f t="shared" si="11"/>
        <v>2.2144724121880484</v>
      </c>
      <c r="AC18" s="110" t="s">
        <v>565</v>
      </c>
      <c r="AD18" s="108">
        <v>1.2369600000000001</v>
      </c>
      <c r="AE18" s="101" t="str">
        <f t="shared" si="12"/>
        <v/>
      </c>
      <c r="AF18" s="110" t="s">
        <v>565</v>
      </c>
      <c r="AG18" s="108">
        <v>0.10611</v>
      </c>
      <c r="AH18" s="101" t="str">
        <f t="shared" si="13"/>
        <v/>
      </c>
    </row>
    <row r="19" spans="1:34" x14ac:dyDescent="0.35">
      <c r="A19" s="149" t="str">
        <f t="shared" si="18"/>
        <v>Venezuela</v>
      </c>
      <c r="B19" s="151">
        <f t="shared" si="18"/>
        <v>94.265270000000001</v>
      </c>
      <c r="C19" s="151">
        <f t="shared" si="18"/>
        <v>109.72732000000001</v>
      </c>
      <c r="D19" s="151">
        <f t="shared" si="18"/>
        <v>134.44861</v>
      </c>
      <c r="E19" s="151">
        <f t="shared" si="18"/>
        <v>182.66088999999999</v>
      </c>
      <c r="F19" s="151">
        <f t="shared" si="18"/>
        <v>0.10578</v>
      </c>
      <c r="G19" s="151">
        <f t="shared" si="18"/>
        <v>197.24946006651982</v>
      </c>
      <c r="H19" s="152">
        <f t="shared" si="18"/>
        <v>1864714.1242817151</v>
      </c>
      <c r="I19" s="151">
        <f t="shared" si="18"/>
        <v>1726.7998676498391</v>
      </c>
      <c r="K19" s="117" t="str">
        <f>U48</f>
        <v>Peru</v>
      </c>
      <c r="L19" s="116">
        <f>+V48</f>
        <v>21.829989999999999</v>
      </c>
      <c r="M19" s="116">
        <f>+W48</f>
        <v>20.095320000000001</v>
      </c>
      <c r="N19" s="116">
        <f>+X48</f>
        <v>26.918510000000001</v>
      </c>
      <c r="O19" s="116">
        <f>+Y48</f>
        <v>37.709980000000002</v>
      </c>
      <c r="P19" s="115">
        <f>+Z48</f>
        <v>3.70669</v>
      </c>
      <c r="Q19" s="114">
        <f>AB48</f>
        <v>100.31384337093</v>
      </c>
      <c r="R19" s="113">
        <f t="shared" si="9"/>
        <v>27062.916880270539</v>
      </c>
      <c r="S19" s="112">
        <f t="shared" si="10"/>
        <v>10.1734917136313</v>
      </c>
      <c r="T19" s="111"/>
      <c r="U19" s="110" t="s">
        <v>208</v>
      </c>
      <c r="V19" s="109">
        <v>3.9900699999999998</v>
      </c>
      <c r="W19" s="109">
        <v>2.9891100000000002</v>
      </c>
      <c r="X19" s="109">
        <v>3.5010699999999999</v>
      </c>
      <c r="Y19" s="109">
        <v>4.7340099999999996</v>
      </c>
      <c r="Z19" s="108">
        <v>0.28671000000000002</v>
      </c>
      <c r="AA19" s="108">
        <v>0.79093999999999998</v>
      </c>
      <c r="AB19" s="100">
        <f t="shared" si="11"/>
        <v>5.9852959769388319</v>
      </c>
      <c r="AC19" s="110" t="s">
        <v>208</v>
      </c>
      <c r="AD19" s="108">
        <v>4.7340099999999996</v>
      </c>
      <c r="AE19" s="101" t="str">
        <f t="shared" si="12"/>
        <v/>
      </c>
      <c r="AF19" s="110" t="s">
        <v>208</v>
      </c>
      <c r="AG19" s="108">
        <v>0.31330999999999998</v>
      </c>
      <c r="AH19" s="101" t="str">
        <f t="shared" si="13"/>
        <v/>
      </c>
    </row>
    <row r="20" spans="1:34" x14ac:dyDescent="0.35">
      <c r="A20" s="149" t="str">
        <f t="shared" si="18"/>
        <v>Europe</v>
      </c>
      <c r="B20" s="151">
        <f t="shared" si="18"/>
        <v>4680.3337199999996</v>
      </c>
      <c r="C20" s="151">
        <f t="shared" si="18"/>
        <v>4545.5550999999996</v>
      </c>
      <c r="D20" s="151">
        <f t="shared" si="18"/>
        <v>4457.7802899999997</v>
      </c>
      <c r="E20" s="151">
        <f t="shared" si="18"/>
        <v>4305.1695</v>
      </c>
      <c r="F20" s="151">
        <f t="shared" si="18"/>
        <v>2.9946700000000002</v>
      </c>
      <c r="G20" s="151">
        <f t="shared" si="18"/>
        <v>15473.419473097798</v>
      </c>
      <c r="H20" s="152">
        <f t="shared" si="18"/>
        <v>5166986.5037208768</v>
      </c>
      <c r="I20" s="151">
        <f t="shared" si="18"/>
        <v>1437.6106549302594</v>
      </c>
      <c r="K20" s="117" t="str">
        <f>U54</f>
        <v>Trinidad and Tobago</v>
      </c>
      <c r="L20" s="116">
        <f>+V54</f>
        <v>10.558109999999999</v>
      </c>
      <c r="M20" s="116">
        <f>+W54</f>
        <v>18.18525</v>
      </c>
      <c r="N20" s="116">
        <f>+X54</f>
        <v>27.510619999999999</v>
      </c>
      <c r="O20" s="116">
        <f>+Y54</f>
        <v>52.068570000000001</v>
      </c>
      <c r="P20" s="115">
        <f>+Z54</f>
        <v>4.4819999999999999E-2</v>
      </c>
      <c r="Q20" s="114">
        <f>AB54</f>
        <v>20.651641229851506</v>
      </c>
      <c r="R20" s="113">
        <f t="shared" si="9"/>
        <v>460768.4344009707</v>
      </c>
      <c r="S20" s="112">
        <f t="shared" si="10"/>
        <v>1161.7262382864792</v>
      </c>
      <c r="T20" s="111"/>
      <c r="U20" s="110" t="s">
        <v>211</v>
      </c>
      <c r="V20" s="109">
        <v>0.96806999999999999</v>
      </c>
      <c r="W20" s="109">
        <v>1.3016000000000001</v>
      </c>
      <c r="X20" s="109">
        <v>1.7058</v>
      </c>
      <c r="Y20" s="109">
        <v>1.4416899999999999</v>
      </c>
      <c r="Z20" s="108">
        <v>0.32112000000000002</v>
      </c>
      <c r="AA20" s="108">
        <v>0.41893000000000002</v>
      </c>
      <c r="AB20" s="100">
        <f t="shared" si="11"/>
        <v>3.4413625187978893</v>
      </c>
      <c r="AC20" s="110" t="s">
        <v>211</v>
      </c>
      <c r="AD20" s="108">
        <v>1.4416899999999999</v>
      </c>
      <c r="AE20" s="101" t="str">
        <f t="shared" si="12"/>
        <v/>
      </c>
      <c r="AF20" s="110" t="s">
        <v>211</v>
      </c>
      <c r="AG20" s="108">
        <v>0.28671000000000002</v>
      </c>
      <c r="AH20" s="101" t="str">
        <f t="shared" si="13"/>
        <v/>
      </c>
    </row>
    <row r="21" spans="1:34" x14ac:dyDescent="0.35">
      <c r="A21" s="149" t="str">
        <f t="shared" ref="A21:I21" si="19">+K24</f>
        <v>Czech Republic</v>
      </c>
      <c r="B21" s="155" t="str">
        <f t="shared" si="19"/>
        <v>--</v>
      </c>
      <c r="C21" s="155" t="str">
        <f t="shared" si="19"/>
        <v>--</v>
      </c>
      <c r="D21" s="151">
        <f t="shared" si="19"/>
        <v>94.595309999999998</v>
      </c>
      <c r="E21" s="151">
        <f t="shared" si="19"/>
        <v>92.396609999999995</v>
      </c>
      <c r="F21" s="151">
        <f t="shared" si="19"/>
        <v>5.52989</v>
      </c>
      <c r="G21" s="151">
        <f t="shared" si="19"/>
        <v>144.36068058246357</v>
      </c>
      <c r="H21" s="152">
        <f t="shared" si="19"/>
        <v>26105.524808353075</v>
      </c>
      <c r="I21" s="151">
        <f t="shared" si="19"/>
        <v>16.708580098338302</v>
      </c>
      <c r="K21" s="117" t="str">
        <f>U57</f>
        <v>Venezuela</v>
      </c>
      <c r="L21" s="116">
        <f>+V57</f>
        <v>94.265270000000001</v>
      </c>
      <c r="M21" s="116">
        <f>+W57</f>
        <v>109.72732000000001</v>
      </c>
      <c r="N21" s="116">
        <f>+X57</f>
        <v>134.44861</v>
      </c>
      <c r="O21" s="116">
        <f>+Y57</f>
        <v>182.66088999999999</v>
      </c>
      <c r="P21" s="115">
        <f>+Z57</f>
        <v>0.10578</v>
      </c>
      <c r="Q21" s="114">
        <f>AB57</f>
        <v>197.24946006651982</v>
      </c>
      <c r="R21" s="113">
        <f t="shared" si="9"/>
        <v>1864714.1242817151</v>
      </c>
      <c r="S21" s="112">
        <f t="shared" si="10"/>
        <v>1726.7998676498391</v>
      </c>
      <c r="T21" s="111"/>
      <c r="U21" s="110" t="s">
        <v>213</v>
      </c>
      <c r="V21" s="109">
        <v>0.22550000000000001</v>
      </c>
      <c r="W21" s="109">
        <v>0.31314999999999998</v>
      </c>
      <c r="X21" s="109">
        <v>0.65973000000000004</v>
      </c>
      <c r="Y21" s="109">
        <v>0.5363</v>
      </c>
      <c r="Z21" s="108">
        <v>10.118679999999999</v>
      </c>
      <c r="AA21" s="108">
        <v>0.79288000000000003</v>
      </c>
      <c r="AB21" s="100">
        <f t="shared" si="11"/>
        <v>0.67639491474119662</v>
      </c>
      <c r="AC21" s="110" t="s">
        <v>213</v>
      </c>
      <c r="AD21" s="108">
        <v>0.5363</v>
      </c>
      <c r="AE21" s="101" t="str">
        <f t="shared" si="12"/>
        <v/>
      </c>
      <c r="AF21" s="110" t="s">
        <v>213</v>
      </c>
      <c r="AG21" s="108">
        <v>0.32112000000000002</v>
      </c>
      <c r="AH21" s="101" t="str">
        <f t="shared" si="13"/>
        <v/>
      </c>
    </row>
    <row r="22" spans="1:34" x14ac:dyDescent="0.35">
      <c r="A22" s="149" t="str">
        <f t="shared" ref="A22:I23" si="20">+K27</f>
        <v>France</v>
      </c>
      <c r="B22" s="151">
        <f t="shared" si="20"/>
        <v>488.91734000000002</v>
      </c>
      <c r="C22" s="151">
        <f t="shared" si="20"/>
        <v>367.68203999999997</v>
      </c>
      <c r="D22" s="151">
        <f t="shared" si="20"/>
        <v>401.65132999999997</v>
      </c>
      <c r="E22" s="151">
        <f t="shared" si="20"/>
        <v>374.32733999999999</v>
      </c>
      <c r="F22" s="151">
        <f t="shared" si="20"/>
        <v>81.471829999999997</v>
      </c>
      <c r="G22" s="151">
        <f t="shared" si="20"/>
        <v>2108.530051258942</v>
      </c>
      <c r="H22" s="152">
        <f t="shared" si="20"/>
        <v>25880.479808283944</v>
      </c>
      <c r="I22" s="151">
        <f t="shared" si="20"/>
        <v>4.5945615803646485</v>
      </c>
      <c r="K22" s="117" t="str">
        <f>U60</f>
        <v>Europe</v>
      </c>
      <c r="L22" s="135">
        <f>+V60</f>
        <v>4680.3337199999996</v>
      </c>
      <c r="M22" s="135">
        <f>+W60</f>
        <v>4545.5550999999996</v>
      </c>
      <c r="N22" s="135">
        <f>+X60</f>
        <v>4457.7802899999997</v>
      </c>
      <c r="O22" s="135">
        <f>+Y60</f>
        <v>4305.1695</v>
      </c>
      <c r="P22" s="136">
        <f>+Z60</f>
        <v>2.9946700000000002</v>
      </c>
      <c r="Q22" s="137">
        <f>AB60</f>
        <v>15473.419473097798</v>
      </c>
      <c r="R22" s="138">
        <f t="shared" si="9"/>
        <v>5166986.5037208768</v>
      </c>
      <c r="S22" s="139">
        <f t="shared" si="10"/>
        <v>1437.6106549302594</v>
      </c>
      <c r="T22" s="111"/>
      <c r="U22" s="110" t="s">
        <v>216</v>
      </c>
      <c r="V22" s="109">
        <v>4.4629000000000003</v>
      </c>
      <c r="W22" s="109">
        <v>5.0678099999999997</v>
      </c>
      <c r="X22" s="109">
        <v>9.2563800000000001</v>
      </c>
      <c r="Y22" s="109">
        <v>13.97625</v>
      </c>
      <c r="Z22" s="108">
        <v>197.59549999999999</v>
      </c>
      <c r="AA22" s="108">
        <v>1.11259</v>
      </c>
      <c r="AB22" s="100">
        <f t="shared" si="11"/>
        <v>12.561905104306168</v>
      </c>
      <c r="AC22" s="110" t="s">
        <v>216</v>
      </c>
      <c r="AD22" s="108">
        <v>13.97625</v>
      </c>
      <c r="AE22" s="101" t="str">
        <f t="shared" si="12"/>
        <v/>
      </c>
      <c r="AF22" s="110" t="s">
        <v>216</v>
      </c>
      <c r="AG22" s="108">
        <v>10.118679999999999</v>
      </c>
      <c r="AH22" s="101" t="str">
        <f t="shared" si="13"/>
        <v/>
      </c>
    </row>
    <row r="23" spans="1:34" x14ac:dyDescent="0.35">
      <c r="A23" s="149" t="str">
        <f t="shared" si="20"/>
        <v>Germany*</v>
      </c>
      <c r="B23" s="151">
        <f t="shared" si="20"/>
        <v>1056.04351</v>
      </c>
      <c r="C23" s="151">
        <f t="shared" si="20"/>
        <v>990.63376999999991</v>
      </c>
      <c r="D23" s="151">
        <f t="shared" si="20"/>
        <v>854.65732000000003</v>
      </c>
      <c r="E23" s="151">
        <f t="shared" si="20"/>
        <v>748.48560999999995</v>
      </c>
      <c r="F23" s="151" t="str">
        <f t="shared" si="20"/>
        <v>--</v>
      </c>
      <c r="G23" s="151">
        <f t="shared" si="20"/>
        <v>2775.767142592249</v>
      </c>
      <c r="H23" s="152" t="e">
        <f t="shared" si="20"/>
        <v>#VALUE!</v>
      </c>
      <c r="I23" s="151" t="e">
        <f t="shared" si="20"/>
        <v>#VALUE!</v>
      </c>
      <c r="K23" s="117" t="str">
        <f>U63</f>
        <v>Belgium</v>
      </c>
      <c r="L23" s="116">
        <f>+V63</f>
        <v>135.69422</v>
      </c>
      <c r="M23" s="116">
        <f>+W63</f>
        <v>125.2719</v>
      </c>
      <c r="N23" s="116">
        <f>+X63</f>
        <v>148.10292999999999</v>
      </c>
      <c r="O23" s="116">
        <f>+Y63</f>
        <v>131.06315000000001</v>
      </c>
      <c r="P23" s="115">
        <f>+Z63</f>
        <v>3.8823599999999998</v>
      </c>
      <c r="Q23" s="114">
        <f>AB63</f>
        <v>410.2389820959059</v>
      </c>
      <c r="R23" s="113">
        <f t="shared" si="9"/>
        <v>105667.42447787065</v>
      </c>
      <c r="S23" s="112">
        <f t="shared" si="10"/>
        <v>33.758628772190114</v>
      </c>
      <c r="T23" s="111"/>
      <c r="U23" s="110" t="s">
        <v>115</v>
      </c>
      <c r="V23" s="109">
        <v>185.66367</v>
      </c>
      <c r="W23" s="109">
        <v>237.3323</v>
      </c>
      <c r="X23" s="109">
        <v>344.35816</v>
      </c>
      <c r="Y23" s="109">
        <v>475.40926000000002</v>
      </c>
      <c r="Z23" s="108">
        <v>5.1380000000000002E-2</v>
      </c>
      <c r="AA23" s="108">
        <v>0.41361999999999999</v>
      </c>
      <c r="AB23" s="100">
        <f t="shared" si="11"/>
        <v>1149.3865383685509</v>
      </c>
      <c r="AC23" s="110" t="s">
        <v>115</v>
      </c>
      <c r="AD23" s="108">
        <v>475.40926000000002</v>
      </c>
      <c r="AE23" s="101" t="str">
        <f t="shared" si="12"/>
        <v/>
      </c>
      <c r="AF23" s="110" t="s">
        <v>115</v>
      </c>
      <c r="AG23" s="108">
        <v>197.59549999999999</v>
      </c>
      <c r="AH23" s="101" t="str">
        <f t="shared" si="13"/>
        <v/>
      </c>
    </row>
    <row r="24" spans="1:34" x14ac:dyDescent="0.35">
      <c r="A24" s="149" t="str">
        <f t="shared" ref="A24:A41" si="21">+K31</f>
        <v>Italy</v>
      </c>
      <c r="B24" s="151">
        <f t="shared" ref="B24:B41" si="22">+L31</f>
        <v>371.78881999999999</v>
      </c>
      <c r="C24" s="151">
        <f t="shared" ref="C24:C41" si="23">+M31</f>
        <v>415.40895</v>
      </c>
      <c r="D24" s="151">
        <f t="shared" ref="D24:D41" si="24">+N31</f>
        <v>447.72291999999999</v>
      </c>
      <c r="E24" s="151">
        <f t="shared" ref="E24:E41" si="25">+O31</f>
        <v>400.93916000000002</v>
      </c>
      <c r="F24" s="151">
        <f t="shared" ref="F24:F41" si="26">+P31</f>
        <v>0.50329999999999997</v>
      </c>
      <c r="G24" s="151">
        <f t="shared" ref="G24:G41" si="27">+Q31</f>
        <v>1675.9568615976259</v>
      </c>
      <c r="H24" s="152">
        <f t="shared" ref="H24:H41" si="28">+R31</f>
        <v>3329936.1446406236</v>
      </c>
      <c r="I24" s="151">
        <f t="shared" ref="I24:I41" si="29">+S31</f>
        <v>796.62062388237644</v>
      </c>
      <c r="K24" s="117" t="str">
        <f>U68</f>
        <v>Czech Republic</v>
      </c>
      <c r="L24" s="116" t="str">
        <f t="shared" ref="L24:P25" si="30">+V68</f>
        <v>--</v>
      </c>
      <c r="M24" s="116" t="str">
        <f t="shared" si="30"/>
        <v>--</v>
      </c>
      <c r="N24" s="116">
        <f t="shared" si="30"/>
        <v>94.595309999999998</v>
      </c>
      <c r="O24" s="116">
        <f t="shared" si="30"/>
        <v>92.396609999999995</v>
      </c>
      <c r="P24" s="115">
        <f t="shared" si="30"/>
        <v>5.52989</v>
      </c>
      <c r="Q24" s="114">
        <f>AB68</f>
        <v>144.36068058246357</v>
      </c>
      <c r="R24" s="113">
        <f t="shared" si="9"/>
        <v>26105.524808353075</v>
      </c>
      <c r="S24" s="112">
        <f t="shared" si="10"/>
        <v>16.708580098338302</v>
      </c>
      <c r="T24" s="111"/>
      <c r="U24" s="110" t="s">
        <v>566</v>
      </c>
      <c r="V24" s="109">
        <v>9.7799999999999998E-2</v>
      </c>
      <c r="W24" s="109">
        <v>0.27439000000000002</v>
      </c>
      <c r="X24" s="109">
        <v>0.34331</v>
      </c>
      <c r="Y24" s="109">
        <v>0.59275999999999995</v>
      </c>
      <c r="Z24" s="108">
        <v>16.915019999999998</v>
      </c>
      <c r="AA24" s="108">
        <v>9.332E-2</v>
      </c>
      <c r="AB24" s="100">
        <f t="shared" si="11"/>
        <v>6.3519074153450488</v>
      </c>
      <c r="AC24" s="110" t="s">
        <v>566</v>
      </c>
      <c r="AD24" s="108">
        <v>0.59275999999999995</v>
      </c>
      <c r="AE24" s="101" t="str">
        <f t="shared" si="12"/>
        <v/>
      </c>
      <c r="AF24" s="110" t="s">
        <v>566</v>
      </c>
      <c r="AG24" s="108">
        <v>5.1380000000000002E-2</v>
      </c>
      <c r="AH24" s="101" t="str">
        <f t="shared" si="13"/>
        <v/>
      </c>
    </row>
    <row r="25" spans="1:34" x14ac:dyDescent="0.35">
      <c r="A25" s="149" t="str">
        <f t="shared" si="21"/>
        <v>Netherlands</v>
      </c>
      <c r="B25" s="151">
        <f t="shared" si="22"/>
        <v>201.09721999999999</v>
      </c>
      <c r="C25" s="151">
        <f t="shared" si="23"/>
        <v>211.11539999999999</v>
      </c>
      <c r="D25" s="151">
        <f t="shared" si="24"/>
        <v>246.26736</v>
      </c>
      <c r="E25" s="151">
        <f t="shared" si="25"/>
        <v>252.99592999999999</v>
      </c>
      <c r="F25" s="151">
        <f t="shared" si="26"/>
        <v>4.6918499999999996</v>
      </c>
      <c r="G25" s="151">
        <f t="shared" si="27"/>
        <v>655.07348333808034</v>
      </c>
      <c r="H25" s="152">
        <f t="shared" si="28"/>
        <v>139619.44293574613</v>
      </c>
      <c r="I25" s="151">
        <f t="shared" si="29"/>
        <v>53.9224250562145</v>
      </c>
      <c r="K25" s="117" t="str">
        <f>U69</f>
        <v>Denmark</v>
      </c>
      <c r="L25" s="116">
        <f t="shared" si="30"/>
        <v>64.966989999999996</v>
      </c>
      <c r="M25" s="116">
        <f t="shared" si="30"/>
        <v>57.107239999999997</v>
      </c>
      <c r="N25" s="116">
        <f t="shared" si="30"/>
        <v>54.497630000000001</v>
      </c>
      <c r="O25" s="116">
        <f t="shared" si="30"/>
        <v>46.664760000000001</v>
      </c>
      <c r="P25" s="115">
        <f t="shared" si="30"/>
        <v>4.9270000000000001E-2</v>
      </c>
      <c r="Q25" s="114">
        <f>AB69</f>
        <v>265.54805667785809</v>
      </c>
      <c r="R25" s="113">
        <f t="shared" si="9"/>
        <v>5389650.0239061918</v>
      </c>
      <c r="S25" s="112">
        <f t="shared" si="10"/>
        <v>947.12319870103511</v>
      </c>
      <c r="T25" s="111"/>
      <c r="U25" s="110" t="s">
        <v>228</v>
      </c>
      <c r="V25" s="109">
        <v>23.85294</v>
      </c>
      <c r="W25" s="109">
        <v>31.866019999999999</v>
      </c>
      <c r="X25" s="109">
        <v>54.62238</v>
      </c>
      <c r="Y25" s="109">
        <v>80.096320000000006</v>
      </c>
      <c r="Z25" s="108">
        <v>44.725540000000002</v>
      </c>
      <c r="AA25" s="108">
        <v>0.49345</v>
      </c>
      <c r="AB25" s="100">
        <f t="shared" si="11"/>
        <v>162.3190191508765</v>
      </c>
      <c r="AC25" s="110" t="s">
        <v>228</v>
      </c>
      <c r="AD25" s="108">
        <v>80.096320000000006</v>
      </c>
      <c r="AE25" s="101" t="str">
        <f t="shared" si="12"/>
        <v/>
      </c>
      <c r="AF25" s="110" t="s">
        <v>228</v>
      </c>
      <c r="AG25" s="108">
        <v>16.915019999999998</v>
      </c>
      <c r="AH25" s="101" t="str">
        <f t="shared" si="13"/>
        <v/>
      </c>
    </row>
    <row r="26" spans="1:34" ht="14" customHeight="1" x14ac:dyDescent="0.35">
      <c r="A26" s="149" t="str">
        <f t="shared" si="21"/>
        <v>Norway</v>
      </c>
      <c r="B26" s="151">
        <f t="shared" si="22"/>
        <v>33.569540000000003</v>
      </c>
      <c r="C26" s="151">
        <f t="shared" si="23"/>
        <v>34.784030000000001</v>
      </c>
      <c r="D26" s="151">
        <f t="shared" si="24"/>
        <v>41.250590000000003</v>
      </c>
      <c r="E26" s="151">
        <f t="shared" si="25"/>
        <v>45.869070000000001</v>
      </c>
      <c r="F26" s="151">
        <f t="shared" si="26"/>
        <v>38.441589999999998</v>
      </c>
      <c r="G26" s="151">
        <f t="shared" si="27"/>
        <v>342.84378503625089</v>
      </c>
      <c r="H26" s="152">
        <f t="shared" si="28"/>
        <v>8918.5641134055822</v>
      </c>
      <c r="I26" s="151">
        <f t="shared" si="29"/>
        <v>1.1932146927325327</v>
      </c>
      <c r="K26" s="117" t="str">
        <f>U71</f>
        <v>Finland</v>
      </c>
      <c r="L26" s="116">
        <f>+V71</f>
        <v>55.340319999999998</v>
      </c>
      <c r="M26" s="116">
        <f>+W71</f>
        <v>53.229770000000002</v>
      </c>
      <c r="N26" s="116">
        <f>+X71</f>
        <v>50.122230000000002</v>
      </c>
      <c r="O26" s="116">
        <f>+Y71</f>
        <v>54.055959999999999</v>
      </c>
      <c r="P26" s="115" t="str">
        <f>+Z71</f>
        <v>--</v>
      </c>
      <c r="Q26" s="114">
        <f>AB71</f>
        <v>204.58693512981606</v>
      </c>
      <c r="R26" s="113" t="e">
        <f t="shared" si="9"/>
        <v>#VALUE!</v>
      </c>
      <c r="S26" s="112" t="e">
        <f t="shared" si="10"/>
        <v>#VALUE!</v>
      </c>
      <c r="T26" s="111"/>
      <c r="U26" s="110" t="s">
        <v>229</v>
      </c>
      <c r="V26" s="109">
        <v>39.65804</v>
      </c>
      <c r="W26" s="109">
        <v>41.424889999999998</v>
      </c>
      <c r="X26" s="109">
        <v>57.694600000000001</v>
      </c>
      <c r="Y26" s="109">
        <v>71.153710000000004</v>
      </c>
      <c r="Z26" s="108">
        <v>4.5765599999999997</v>
      </c>
      <c r="AA26" s="108">
        <v>0.39804</v>
      </c>
      <c r="AB26" s="100">
        <f t="shared" si="11"/>
        <v>178.76019997990153</v>
      </c>
      <c r="AC26" s="110" t="s">
        <v>229</v>
      </c>
      <c r="AD26" s="108">
        <v>71.153710000000004</v>
      </c>
      <c r="AE26" s="101" t="str">
        <f t="shared" si="12"/>
        <v/>
      </c>
      <c r="AF26" s="110" t="s">
        <v>229</v>
      </c>
      <c r="AG26" s="108">
        <v>44.725540000000002</v>
      </c>
      <c r="AH26" s="101" t="str">
        <f t="shared" si="13"/>
        <v/>
      </c>
    </row>
    <row r="27" spans="1:34" x14ac:dyDescent="0.35">
      <c r="A27" s="149" t="str">
        <f t="shared" si="21"/>
        <v>Poland</v>
      </c>
      <c r="B27" s="151">
        <f t="shared" si="22"/>
        <v>428.9461</v>
      </c>
      <c r="C27" s="151">
        <f t="shared" si="23"/>
        <v>333.78877</v>
      </c>
      <c r="D27" s="151">
        <f t="shared" si="24"/>
        <v>292.56378999999998</v>
      </c>
      <c r="E27" s="151">
        <f t="shared" si="25"/>
        <v>307.91091999999998</v>
      </c>
      <c r="F27" s="151">
        <f t="shared" si="26"/>
        <v>10.76031</v>
      </c>
      <c r="G27" s="151">
        <f t="shared" si="27"/>
        <v>388.21272142722052</v>
      </c>
      <c r="H27" s="152">
        <f t="shared" si="28"/>
        <v>36078.209775296484</v>
      </c>
      <c r="I27" s="151">
        <f t="shared" si="29"/>
        <v>28.615432083276406</v>
      </c>
      <c r="K27" s="117" t="str">
        <f>U75</f>
        <v>France</v>
      </c>
      <c r="L27" s="116">
        <f>+V75</f>
        <v>488.91734000000002</v>
      </c>
      <c r="M27" s="116">
        <f>+W75</f>
        <v>367.68203999999997</v>
      </c>
      <c r="N27" s="116">
        <f>+X75</f>
        <v>401.65132999999997</v>
      </c>
      <c r="O27" s="116">
        <f>+Y75</f>
        <v>374.32733999999999</v>
      </c>
      <c r="P27" s="115">
        <f>+Z75</f>
        <v>81.471829999999997</v>
      </c>
      <c r="Q27" s="114">
        <f>AB75</f>
        <v>2108.530051258942</v>
      </c>
      <c r="R27" s="113">
        <f t="shared" si="9"/>
        <v>25880.479808283944</v>
      </c>
      <c r="S27" s="112">
        <f t="shared" si="10"/>
        <v>4.5945615803646485</v>
      </c>
      <c r="T27" s="111"/>
      <c r="U27" s="110" t="s">
        <v>233</v>
      </c>
      <c r="V27" s="109">
        <v>2.2675700000000001</v>
      </c>
      <c r="W27" s="109">
        <v>2.7390500000000002</v>
      </c>
      <c r="X27" s="109">
        <v>5.0051600000000001</v>
      </c>
      <c r="Y27" s="109">
        <v>6.8057600000000003</v>
      </c>
      <c r="Z27" s="108">
        <v>11.08733</v>
      </c>
      <c r="AA27" s="108">
        <v>0.25835999999999998</v>
      </c>
      <c r="AB27" s="100">
        <f t="shared" si="11"/>
        <v>26.342158228827994</v>
      </c>
      <c r="AC27" s="110" t="s">
        <v>233</v>
      </c>
      <c r="AD27" s="108">
        <v>6.8057600000000003</v>
      </c>
      <c r="AE27" s="101" t="str">
        <f t="shared" si="12"/>
        <v/>
      </c>
      <c r="AF27" s="110" t="s">
        <v>233</v>
      </c>
      <c r="AG27" s="108">
        <v>4.5765599999999997</v>
      </c>
      <c r="AH27" s="101" t="str">
        <f t="shared" si="13"/>
        <v/>
      </c>
    </row>
    <row r="28" spans="1:34" x14ac:dyDescent="0.35">
      <c r="A28" s="149" t="str">
        <f t="shared" si="21"/>
        <v>Romania</v>
      </c>
      <c r="B28" s="151">
        <f t="shared" si="22"/>
        <v>170.89883</v>
      </c>
      <c r="C28" s="151">
        <f t="shared" si="23"/>
        <v>176.09970000000001</v>
      </c>
      <c r="D28" s="151">
        <f t="shared" si="24"/>
        <v>93.277479999999997</v>
      </c>
      <c r="E28" s="151">
        <f t="shared" si="25"/>
        <v>86.189959999999999</v>
      </c>
      <c r="F28" s="151">
        <f t="shared" si="26"/>
        <v>7.3105599999999997</v>
      </c>
      <c r="G28" s="151">
        <f t="shared" si="27"/>
        <v>121.90252319529306</v>
      </c>
      <c r="H28" s="152">
        <f t="shared" si="28"/>
        <v>16674.854347039494</v>
      </c>
      <c r="I28" s="151">
        <f t="shared" si="29"/>
        <v>11.789789017530804</v>
      </c>
      <c r="K28" s="117" t="str">
        <f>U76</f>
        <v>Germany*</v>
      </c>
      <c r="L28" s="116">
        <f>V77+V78</f>
        <v>1056.04351</v>
      </c>
      <c r="M28" s="116">
        <f>W77+W78</f>
        <v>990.63376999999991</v>
      </c>
      <c r="N28" s="116">
        <f>+X76</f>
        <v>854.65732000000003</v>
      </c>
      <c r="O28" s="116">
        <f>+Y76</f>
        <v>748.48560999999995</v>
      </c>
      <c r="P28" s="115" t="str">
        <f>+Z76</f>
        <v>--</v>
      </c>
      <c r="Q28" s="114">
        <f>AB76</f>
        <v>2775.767142592249</v>
      </c>
      <c r="R28" s="113" t="e">
        <f t="shared" si="9"/>
        <v>#VALUE!</v>
      </c>
      <c r="S28" s="112" t="e">
        <f t="shared" si="10"/>
        <v>#VALUE!</v>
      </c>
      <c r="T28" s="111"/>
      <c r="U28" s="110" t="s">
        <v>379</v>
      </c>
      <c r="V28" s="109">
        <v>29.94117</v>
      </c>
      <c r="W28" s="109">
        <v>35.380479999999999</v>
      </c>
      <c r="X28" s="109">
        <v>32.860639999999997</v>
      </c>
      <c r="Y28" s="109">
        <v>28.410430000000002</v>
      </c>
      <c r="Z28" s="108">
        <v>7.2969999999999993E-2</v>
      </c>
      <c r="AA28" s="108">
        <v>0.55928999999999995</v>
      </c>
      <c r="AB28" s="100">
        <f t="shared" si="11"/>
        <v>50.797314452251968</v>
      </c>
      <c r="AC28" s="110" t="s">
        <v>379</v>
      </c>
      <c r="AD28" s="108">
        <v>28.410430000000002</v>
      </c>
      <c r="AE28" s="101" t="str">
        <f t="shared" si="12"/>
        <v/>
      </c>
      <c r="AF28" s="110" t="s">
        <v>379</v>
      </c>
      <c r="AG28" s="108">
        <v>11.08733</v>
      </c>
      <c r="AH28" s="101" t="str">
        <f t="shared" si="13"/>
        <v/>
      </c>
    </row>
    <row r="29" spans="1:34" x14ac:dyDescent="0.35">
      <c r="A29" s="149" t="str">
        <f t="shared" si="21"/>
        <v>Spain</v>
      </c>
      <c r="B29" s="151">
        <f t="shared" si="22"/>
        <v>194.99610999999999</v>
      </c>
      <c r="C29" s="151">
        <f t="shared" si="23"/>
        <v>224.13592</v>
      </c>
      <c r="D29" s="151">
        <f t="shared" si="24"/>
        <v>317.48626000000002</v>
      </c>
      <c r="E29" s="151">
        <f t="shared" si="25"/>
        <v>318.64373999999998</v>
      </c>
      <c r="F29" s="151">
        <f t="shared" si="26"/>
        <v>9.08873</v>
      </c>
      <c r="G29" s="151">
        <f t="shared" si="27"/>
        <v>1186.1366140559858</v>
      </c>
      <c r="H29" s="152">
        <f t="shared" si="28"/>
        <v>130506.30990864354</v>
      </c>
      <c r="I29" s="151">
        <f t="shared" si="29"/>
        <v>35.059215093857993</v>
      </c>
      <c r="K29" s="117" t="str">
        <f>U80</f>
        <v>Greece</v>
      </c>
      <c r="L29" s="116">
        <f t="shared" ref="L29:P30" si="31">+V80</f>
        <v>51.971029999999999</v>
      </c>
      <c r="M29" s="116">
        <f t="shared" si="31"/>
        <v>81.497990000000001</v>
      </c>
      <c r="N29" s="116">
        <f t="shared" si="31"/>
        <v>101.28762999999999</v>
      </c>
      <c r="O29" s="116">
        <f t="shared" si="31"/>
        <v>91.298330000000007</v>
      </c>
      <c r="P29" s="115">
        <f t="shared" si="31"/>
        <v>9.9760600000000004</v>
      </c>
      <c r="Q29" s="114">
        <f>AB80</f>
        <v>246.72557020862612</v>
      </c>
      <c r="R29" s="113">
        <f t="shared" si="9"/>
        <v>24731.7648659517</v>
      </c>
      <c r="S29" s="112">
        <f t="shared" si="10"/>
        <v>9.1517422709967668</v>
      </c>
      <c r="T29" s="111"/>
      <c r="U29" s="110" t="s">
        <v>239</v>
      </c>
      <c r="V29" s="109">
        <v>2.6790000000000001E-2</v>
      </c>
      <c r="W29" s="109">
        <v>5.8520000000000003E-2</v>
      </c>
      <c r="X29" s="109">
        <v>7.9579999999999998E-2</v>
      </c>
      <c r="Y29" s="109">
        <v>0.14157</v>
      </c>
      <c r="Z29" s="108">
        <v>9.9566499999999998</v>
      </c>
      <c r="AA29" s="108">
        <v>0.40506999999999999</v>
      </c>
      <c r="AB29" s="100">
        <f t="shared" si="11"/>
        <v>0.34949514898659495</v>
      </c>
      <c r="AC29" s="110" t="s">
        <v>239</v>
      </c>
      <c r="AD29" s="108">
        <v>0.14157</v>
      </c>
      <c r="AE29" s="101" t="str">
        <f t="shared" si="12"/>
        <v/>
      </c>
      <c r="AF29" s="110" t="s">
        <v>239</v>
      </c>
      <c r="AG29" s="108">
        <v>7.2969999999999993E-2</v>
      </c>
      <c r="AH29" s="101" t="str">
        <f t="shared" si="13"/>
        <v/>
      </c>
    </row>
    <row r="30" spans="1:34" x14ac:dyDescent="0.35">
      <c r="A30" s="149" t="str">
        <f t="shared" si="21"/>
        <v>Sweden</v>
      </c>
      <c r="B30" s="151">
        <f t="shared" si="22"/>
        <v>82.29665</v>
      </c>
      <c r="C30" s="151">
        <f t="shared" si="23"/>
        <v>57.077730000000003</v>
      </c>
      <c r="D30" s="151">
        <f t="shared" si="24"/>
        <v>60.652940000000001</v>
      </c>
      <c r="E30" s="151">
        <f t="shared" si="25"/>
        <v>53.145850000000003</v>
      </c>
      <c r="F30" s="151">
        <f t="shared" si="26"/>
        <v>7.8501000000000003</v>
      </c>
      <c r="G30" s="151">
        <f t="shared" si="27"/>
        <v>335.83475513428124</v>
      </c>
      <c r="H30" s="152">
        <f t="shared" si="28"/>
        <v>42780.952489048701</v>
      </c>
      <c r="I30" s="151">
        <f t="shared" si="29"/>
        <v>6.7700857313919567</v>
      </c>
      <c r="K30" s="117" t="str">
        <f>U81</f>
        <v>Hungary</v>
      </c>
      <c r="L30" s="116">
        <f t="shared" si="31"/>
        <v>83.747820000000004</v>
      </c>
      <c r="M30" s="116">
        <f t="shared" si="31"/>
        <v>66.75009</v>
      </c>
      <c r="N30" s="116">
        <f t="shared" si="31"/>
        <v>55.352460000000001</v>
      </c>
      <c r="O30" s="116">
        <f t="shared" si="31"/>
        <v>49.562840000000001</v>
      </c>
      <c r="P30" s="115">
        <f t="shared" si="31"/>
        <v>0.31106</v>
      </c>
      <c r="Q30" s="114">
        <f>AB81</f>
        <v>108.70712609391794</v>
      </c>
      <c r="R30" s="113">
        <f t="shared" ref="R30:R55" si="32">Q30/P30*1000</f>
        <v>349473.17589506187</v>
      </c>
      <c r="S30" s="112">
        <f t="shared" ref="S30:S55" si="33">O30/P30</f>
        <v>159.33530508583553</v>
      </c>
      <c r="T30" s="111"/>
      <c r="U30" s="110" t="s">
        <v>240</v>
      </c>
      <c r="V30" s="109">
        <v>5.4352799999999997</v>
      </c>
      <c r="W30" s="109">
        <v>9.0612499999999994</v>
      </c>
      <c r="X30" s="109">
        <v>15.797650000000001</v>
      </c>
      <c r="Y30" s="109">
        <v>20.639679999999998</v>
      </c>
      <c r="Z30" s="108">
        <v>15.007339999999999</v>
      </c>
      <c r="AA30" s="108">
        <v>0.40994999999999998</v>
      </c>
      <c r="AB30" s="100">
        <f t="shared" si="11"/>
        <v>50.346822783266248</v>
      </c>
      <c r="AC30" s="110" t="s">
        <v>240</v>
      </c>
      <c r="AD30" s="108">
        <v>20.639679999999998</v>
      </c>
      <c r="AE30" s="101" t="str">
        <f t="shared" si="12"/>
        <v/>
      </c>
      <c r="AF30" s="110" t="s">
        <v>240</v>
      </c>
      <c r="AG30" s="108">
        <v>9.9566499999999998</v>
      </c>
      <c r="AH30" s="101" t="str">
        <f t="shared" si="13"/>
        <v/>
      </c>
    </row>
    <row r="31" spans="1:34" x14ac:dyDescent="0.35">
      <c r="A31" s="149" t="str">
        <f t="shared" si="21"/>
        <v>Switzerland</v>
      </c>
      <c r="B31" s="151">
        <f t="shared" si="22"/>
        <v>47.21855</v>
      </c>
      <c r="C31" s="151">
        <f t="shared" si="23"/>
        <v>43.481389999999998</v>
      </c>
      <c r="D31" s="151">
        <f t="shared" si="24"/>
        <v>45.439459999999997</v>
      </c>
      <c r="E31" s="151">
        <f t="shared" si="25"/>
        <v>43.363999999999997</v>
      </c>
      <c r="F31" s="151">
        <f t="shared" si="26"/>
        <v>78.785550000000001</v>
      </c>
      <c r="G31" s="151">
        <f t="shared" si="27"/>
        <v>394.57688808007276</v>
      </c>
      <c r="H31" s="152">
        <f t="shared" si="28"/>
        <v>5008.2393037818838</v>
      </c>
      <c r="I31" s="151">
        <f t="shared" si="29"/>
        <v>0.550405499485629</v>
      </c>
      <c r="K31" s="117" t="str">
        <f>U84</f>
        <v>Italy</v>
      </c>
      <c r="L31" s="116">
        <f>+V84</f>
        <v>371.78881999999999</v>
      </c>
      <c r="M31" s="116">
        <f>+W84</f>
        <v>415.40895</v>
      </c>
      <c r="N31" s="116">
        <f>+X84</f>
        <v>447.72291999999999</v>
      </c>
      <c r="O31" s="116">
        <f>+Y84</f>
        <v>400.93916000000002</v>
      </c>
      <c r="P31" s="115">
        <f>+Z84</f>
        <v>0.50329999999999997</v>
      </c>
      <c r="Q31" s="114">
        <f>AB84</f>
        <v>1675.9568615976259</v>
      </c>
      <c r="R31" s="113">
        <f t="shared" si="32"/>
        <v>3329936.1446406236</v>
      </c>
      <c r="S31" s="112">
        <f t="shared" si="33"/>
        <v>796.62062388237644</v>
      </c>
      <c r="T31" s="111"/>
      <c r="U31" s="110" t="s">
        <v>241</v>
      </c>
      <c r="V31" s="109">
        <v>12.78431</v>
      </c>
      <c r="W31" s="109">
        <v>15.087540000000001</v>
      </c>
      <c r="X31" s="109">
        <v>20.08079</v>
      </c>
      <c r="Y31" s="109">
        <v>29.131920000000001</v>
      </c>
      <c r="Z31" s="108">
        <v>6.0717699999999999</v>
      </c>
      <c r="AA31" s="108">
        <v>0.56391999999999998</v>
      </c>
      <c r="AB31" s="100">
        <f t="shared" si="11"/>
        <v>51.659668038019582</v>
      </c>
      <c r="AC31" s="110" t="s">
        <v>241</v>
      </c>
      <c r="AD31" s="108">
        <v>29.131920000000001</v>
      </c>
      <c r="AE31" s="101" t="str">
        <f t="shared" si="12"/>
        <v/>
      </c>
      <c r="AF31" s="110" t="s">
        <v>241</v>
      </c>
      <c r="AG31" s="108">
        <v>15.007339999999999</v>
      </c>
      <c r="AH31" s="101" t="str">
        <f t="shared" si="13"/>
        <v/>
      </c>
    </row>
    <row r="32" spans="1:34" x14ac:dyDescent="0.35">
      <c r="A32" s="149" t="str">
        <f t="shared" si="21"/>
        <v>Turkey</v>
      </c>
      <c r="B32" s="151">
        <f t="shared" si="22"/>
        <v>68.594110000000001</v>
      </c>
      <c r="C32" s="151">
        <f t="shared" si="23"/>
        <v>129.47583</v>
      </c>
      <c r="D32" s="151">
        <f t="shared" si="24"/>
        <v>201.92614</v>
      </c>
      <c r="E32" s="151">
        <f t="shared" si="25"/>
        <v>296.33521999999999</v>
      </c>
      <c r="F32" s="151">
        <f t="shared" si="26"/>
        <v>62.698360000000001</v>
      </c>
      <c r="G32" s="151">
        <f t="shared" si="27"/>
        <v>627.57622990745244</v>
      </c>
      <c r="H32" s="152">
        <f t="shared" si="28"/>
        <v>10009.452079886179</v>
      </c>
      <c r="I32" s="151">
        <f t="shared" si="29"/>
        <v>4.7263631776014554</v>
      </c>
      <c r="K32" s="117" t="str">
        <f>U89</f>
        <v>Netherlands</v>
      </c>
      <c r="L32" s="116">
        <f t="shared" ref="L32:P34" si="34">+V89</f>
        <v>201.09721999999999</v>
      </c>
      <c r="M32" s="116">
        <f t="shared" si="34"/>
        <v>211.11539999999999</v>
      </c>
      <c r="N32" s="116">
        <f t="shared" si="34"/>
        <v>246.26736</v>
      </c>
      <c r="O32" s="116">
        <f t="shared" si="34"/>
        <v>252.99592999999999</v>
      </c>
      <c r="P32" s="115">
        <f t="shared" si="34"/>
        <v>4.6918499999999996</v>
      </c>
      <c r="Q32" s="114">
        <f>AB89</f>
        <v>655.07348333808034</v>
      </c>
      <c r="R32" s="113">
        <f t="shared" si="32"/>
        <v>139619.44293574613</v>
      </c>
      <c r="S32" s="112">
        <f t="shared" si="33"/>
        <v>53.9224250562145</v>
      </c>
      <c r="T32" s="111"/>
      <c r="U32" s="110" t="s">
        <v>242</v>
      </c>
      <c r="V32" s="109">
        <v>1.9921</v>
      </c>
      <c r="W32" s="109">
        <v>2.39073</v>
      </c>
      <c r="X32" s="109">
        <v>5.5091999999999999</v>
      </c>
      <c r="Y32" s="109">
        <v>6.7128300000000003</v>
      </c>
      <c r="Z32" s="108">
        <v>3.14E-3</v>
      </c>
      <c r="AA32" s="108">
        <v>0.34664</v>
      </c>
      <c r="AB32" s="100">
        <f t="shared" si="11"/>
        <v>19.365422340180015</v>
      </c>
      <c r="AC32" s="110" t="s">
        <v>242</v>
      </c>
      <c r="AD32" s="108">
        <v>6.7128300000000003</v>
      </c>
      <c r="AE32" s="101" t="str">
        <f t="shared" si="12"/>
        <v/>
      </c>
      <c r="AF32" s="110" t="s">
        <v>242</v>
      </c>
      <c r="AG32" s="108">
        <v>6.0717699999999999</v>
      </c>
      <c r="AH32" s="101" t="str">
        <f t="shared" si="13"/>
        <v/>
      </c>
    </row>
    <row r="33" spans="1:34" ht="30.5" x14ac:dyDescent="0.35">
      <c r="A33" s="149" t="str">
        <f t="shared" si="21"/>
        <v>United Kingdom</v>
      </c>
      <c r="B33" s="151">
        <f t="shared" si="22"/>
        <v>613.56839000000002</v>
      </c>
      <c r="C33" s="151">
        <f t="shared" si="23"/>
        <v>601.82453999999996</v>
      </c>
      <c r="D33" s="151">
        <f t="shared" si="24"/>
        <v>560.33888000000002</v>
      </c>
      <c r="E33" s="151">
        <f t="shared" si="25"/>
        <v>496.79921999999999</v>
      </c>
      <c r="F33" s="151">
        <f t="shared" si="26"/>
        <v>288.49885999999998</v>
      </c>
      <c r="G33" s="151">
        <f t="shared" si="27"/>
        <v>2169.0500349283966</v>
      </c>
      <c r="H33" s="152">
        <f t="shared" si="28"/>
        <v>7518.4007137095678</v>
      </c>
      <c r="I33" s="151">
        <f t="shared" si="29"/>
        <v>1.7220144994680395</v>
      </c>
      <c r="K33" s="117" t="str">
        <f>U90</f>
        <v>Norway</v>
      </c>
      <c r="L33" s="116">
        <f t="shared" si="34"/>
        <v>33.569540000000003</v>
      </c>
      <c r="M33" s="116">
        <f t="shared" si="34"/>
        <v>34.784030000000001</v>
      </c>
      <c r="N33" s="116">
        <f t="shared" si="34"/>
        <v>41.250590000000003</v>
      </c>
      <c r="O33" s="116">
        <f t="shared" si="34"/>
        <v>45.869070000000001</v>
      </c>
      <c r="P33" s="115">
        <f t="shared" si="34"/>
        <v>38.441589999999998</v>
      </c>
      <c r="Q33" s="114">
        <f>AB90</f>
        <v>342.84378503625089</v>
      </c>
      <c r="R33" s="113">
        <f t="shared" si="32"/>
        <v>8918.5641134055822</v>
      </c>
      <c r="S33" s="112">
        <f t="shared" si="33"/>
        <v>1.1932146927325327</v>
      </c>
      <c r="T33" s="111"/>
      <c r="U33" s="110" t="s">
        <v>567</v>
      </c>
      <c r="V33" s="109">
        <v>1.1679999999999999E-2</v>
      </c>
      <c r="W33" s="109">
        <v>2.5190000000000001E-2</v>
      </c>
      <c r="X33" s="109">
        <v>2.86E-2</v>
      </c>
      <c r="Y33" s="109">
        <v>4.5740000000000003E-2</v>
      </c>
      <c r="Z33" s="108">
        <v>0.23624999999999999</v>
      </c>
      <c r="AA33" s="108" t="s">
        <v>590</v>
      </c>
      <c r="AB33" s="100" t="e">
        <f t="shared" si="11"/>
        <v>#VALUE!</v>
      </c>
      <c r="AC33" s="110" t="s">
        <v>567</v>
      </c>
      <c r="AD33" s="108">
        <v>4.5740000000000003E-2</v>
      </c>
      <c r="AE33" s="101" t="str">
        <f t="shared" si="12"/>
        <v/>
      </c>
      <c r="AF33" s="110" t="s">
        <v>567</v>
      </c>
      <c r="AG33" s="108">
        <v>3.14E-3</v>
      </c>
      <c r="AH33" s="101" t="str">
        <f t="shared" si="13"/>
        <v/>
      </c>
    </row>
    <row r="34" spans="1:34" x14ac:dyDescent="0.35">
      <c r="A34" s="149" t="str">
        <f t="shared" si="21"/>
        <v>Eurasia</v>
      </c>
      <c r="B34" s="151">
        <f t="shared" si="22"/>
        <v>3081.8701799999999</v>
      </c>
      <c r="C34" s="151">
        <f t="shared" si="23"/>
        <v>3820.84978</v>
      </c>
      <c r="D34" s="151">
        <f t="shared" si="24"/>
        <v>2261.0521100000001</v>
      </c>
      <c r="E34" s="151">
        <f t="shared" si="25"/>
        <v>2638.6259300000002</v>
      </c>
      <c r="F34" s="151">
        <f t="shared" si="26"/>
        <v>2.9679799999999998</v>
      </c>
      <c r="G34" s="151">
        <f t="shared" si="27"/>
        <v>1356.6269903701304</v>
      </c>
      <c r="H34" s="152">
        <f t="shared" si="28"/>
        <v>457087.645594017</v>
      </c>
      <c r="I34" s="151">
        <f t="shared" si="29"/>
        <v>889.03089980390712</v>
      </c>
      <c r="K34" s="117" t="str">
        <f>U91</f>
        <v>Poland</v>
      </c>
      <c r="L34" s="116">
        <f t="shared" si="34"/>
        <v>428.9461</v>
      </c>
      <c r="M34" s="116">
        <f t="shared" si="34"/>
        <v>333.78877</v>
      </c>
      <c r="N34" s="116">
        <f t="shared" si="34"/>
        <v>292.56378999999998</v>
      </c>
      <c r="O34" s="116">
        <f t="shared" si="34"/>
        <v>307.91091999999998</v>
      </c>
      <c r="P34" s="115">
        <f t="shared" si="34"/>
        <v>10.76031</v>
      </c>
      <c r="Q34" s="114">
        <f>AB91</f>
        <v>388.21272142722052</v>
      </c>
      <c r="R34" s="113">
        <f t="shared" si="32"/>
        <v>36078.209775296484</v>
      </c>
      <c r="S34" s="112">
        <f t="shared" si="33"/>
        <v>28.615432083276406</v>
      </c>
      <c r="T34" s="111"/>
      <c r="U34" s="110" t="s">
        <v>568</v>
      </c>
      <c r="V34" s="109">
        <v>0.34991</v>
      </c>
      <c r="W34" s="109">
        <v>0.68491999999999997</v>
      </c>
      <c r="X34" s="109">
        <v>0.99690000000000001</v>
      </c>
      <c r="Y34" s="109">
        <v>1.0640099999999999</v>
      </c>
      <c r="Z34" s="108">
        <v>0.10842</v>
      </c>
      <c r="AA34" s="108">
        <v>0.31083</v>
      </c>
      <c r="AB34" s="100">
        <f t="shared" si="11"/>
        <v>3.4231251809670877</v>
      </c>
      <c r="AC34" s="110" t="s">
        <v>568</v>
      </c>
      <c r="AD34" s="108">
        <v>1.0640099999999999</v>
      </c>
      <c r="AE34" s="101" t="str">
        <f t="shared" si="12"/>
        <v/>
      </c>
      <c r="AF34" s="110" t="s">
        <v>568</v>
      </c>
      <c r="AG34" s="108">
        <v>0.23624999999999999</v>
      </c>
      <c r="AH34" s="101" t="str">
        <f t="shared" si="13"/>
        <v/>
      </c>
    </row>
    <row r="35" spans="1:34" x14ac:dyDescent="0.35">
      <c r="A35" s="149" t="str">
        <f t="shared" si="21"/>
        <v>Kazakhstan</v>
      </c>
      <c r="B35" s="151" t="str">
        <f t="shared" si="22"/>
        <v>--</v>
      </c>
      <c r="C35" s="151" t="str">
        <f t="shared" si="23"/>
        <v>--</v>
      </c>
      <c r="D35" s="151">
        <f t="shared" si="24"/>
        <v>132.71124</v>
      </c>
      <c r="E35" s="151">
        <f t="shared" si="25"/>
        <v>195.35452000000001</v>
      </c>
      <c r="F35" s="151">
        <f t="shared" si="26"/>
        <v>5.45078</v>
      </c>
      <c r="G35" s="151">
        <f t="shared" si="27"/>
        <v>80.084990202267832</v>
      </c>
      <c r="H35" s="152">
        <f t="shared" si="28"/>
        <v>14692.390850899841</v>
      </c>
      <c r="I35" s="151">
        <f t="shared" si="29"/>
        <v>35.839736698234013</v>
      </c>
      <c r="K35" s="117" t="str">
        <f>U93</f>
        <v>Romania</v>
      </c>
      <c r="L35" s="116">
        <f>+V93</f>
        <v>170.89883</v>
      </c>
      <c r="M35" s="116">
        <f>+W93</f>
        <v>176.09970000000001</v>
      </c>
      <c r="N35" s="116">
        <f>+X93</f>
        <v>93.277479999999997</v>
      </c>
      <c r="O35" s="116">
        <f>+Y93</f>
        <v>86.189959999999999</v>
      </c>
      <c r="P35" s="115">
        <f>+Z93</f>
        <v>7.3105599999999997</v>
      </c>
      <c r="Q35" s="114">
        <f>AB93</f>
        <v>121.90252319529306</v>
      </c>
      <c r="R35" s="113">
        <f t="shared" si="32"/>
        <v>16674.854347039494</v>
      </c>
      <c r="S35" s="112">
        <f t="shared" si="33"/>
        <v>11.789789017530804</v>
      </c>
      <c r="T35" s="111"/>
      <c r="U35" s="110" t="s">
        <v>254</v>
      </c>
      <c r="V35" s="109">
        <v>4.5740000000000003E-2</v>
      </c>
      <c r="W35" s="109">
        <v>0.12318999999999999</v>
      </c>
      <c r="X35" s="109">
        <v>0.11806</v>
      </c>
      <c r="Y35" s="109">
        <v>0.26895999999999998</v>
      </c>
      <c r="Z35" s="108">
        <v>0.47305000000000003</v>
      </c>
      <c r="AA35" s="108">
        <v>0.65056999999999998</v>
      </c>
      <c r="AB35" s="100">
        <f t="shared" si="11"/>
        <v>0.41342207602563902</v>
      </c>
      <c r="AC35" s="110" t="s">
        <v>254</v>
      </c>
      <c r="AD35" s="108">
        <v>0.26895999999999998</v>
      </c>
      <c r="AE35" s="101" t="str">
        <f t="shared" si="12"/>
        <v/>
      </c>
      <c r="AF35" s="110" t="s">
        <v>254</v>
      </c>
      <c r="AG35" s="108">
        <v>0.10842</v>
      </c>
      <c r="AH35" s="101" t="str">
        <f t="shared" si="13"/>
        <v/>
      </c>
    </row>
    <row r="36" spans="1:34" x14ac:dyDescent="0.35">
      <c r="A36" s="149" t="str">
        <f t="shared" si="21"/>
        <v>Russia</v>
      </c>
      <c r="B36" s="151" t="str">
        <f t="shared" si="22"/>
        <v>--</v>
      </c>
      <c r="C36" s="151" t="str">
        <f t="shared" si="23"/>
        <v>--</v>
      </c>
      <c r="D36" s="151">
        <f t="shared" si="24"/>
        <v>1498.77334</v>
      </c>
      <c r="E36" s="151">
        <f t="shared" si="25"/>
        <v>1788.1364599999999</v>
      </c>
      <c r="F36" s="151">
        <f t="shared" si="26"/>
        <v>7.6272000000000002</v>
      </c>
      <c r="G36" s="151">
        <f t="shared" si="27"/>
        <v>984.64037488367478</v>
      </c>
      <c r="H36" s="152">
        <f t="shared" si="28"/>
        <v>129095.91657274947</v>
      </c>
      <c r="I36" s="151">
        <f t="shared" si="29"/>
        <v>234.44205737361023</v>
      </c>
      <c r="K36" s="117" t="str">
        <f t="shared" ref="K36:K41" si="35">U97</f>
        <v>Spain</v>
      </c>
      <c r="L36" s="116">
        <f t="shared" ref="L36:P41" si="36">+V97</f>
        <v>194.99610999999999</v>
      </c>
      <c r="M36" s="116">
        <f t="shared" si="36"/>
        <v>224.13592</v>
      </c>
      <c r="N36" s="116">
        <f t="shared" si="36"/>
        <v>317.48626000000002</v>
      </c>
      <c r="O36" s="116">
        <f t="shared" si="36"/>
        <v>318.64373999999998</v>
      </c>
      <c r="P36" s="115">
        <f t="shared" si="36"/>
        <v>9.08873</v>
      </c>
      <c r="Q36" s="114">
        <f t="shared" ref="Q36:Q41" si="37">AB97</f>
        <v>1186.1366140559858</v>
      </c>
      <c r="R36" s="113">
        <f t="shared" si="32"/>
        <v>130506.30990864354</v>
      </c>
      <c r="S36" s="112">
        <f t="shared" si="33"/>
        <v>35.059215093857993</v>
      </c>
      <c r="T36" s="111"/>
      <c r="U36" s="110" t="s">
        <v>569</v>
      </c>
      <c r="V36" s="109">
        <v>0.48529</v>
      </c>
      <c r="W36" s="109">
        <v>1.4421600000000001</v>
      </c>
      <c r="X36" s="109">
        <v>1.8067899999999999</v>
      </c>
      <c r="Y36" s="109">
        <v>2.4624799999999998</v>
      </c>
      <c r="Z36" s="108">
        <v>13.82446</v>
      </c>
      <c r="AA36" s="108" t="s">
        <v>590</v>
      </c>
      <c r="AB36" s="100" t="e">
        <f t="shared" si="11"/>
        <v>#VALUE!</v>
      </c>
      <c r="AC36" s="110" t="s">
        <v>569</v>
      </c>
      <c r="AD36" s="108">
        <v>2.4624799999999998</v>
      </c>
      <c r="AE36" s="101" t="str">
        <f t="shared" si="12"/>
        <v/>
      </c>
      <c r="AF36" s="110" t="s">
        <v>569</v>
      </c>
      <c r="AG36" s="108">
        <v>0.47305000000000003</v>
      </c>
      <c r="AH36" s="101" t="str">
        <f t="shared" si="13"/>
        <v/>
      </c>
    </row>
    <row r="37" spans="1:34" x14ac:dyDescent="0.35">
      <c r="A37" s="149" t="str">
        <f t="shared" si="21"/>
        <v>Ukraine</v>
      </c>
      <c r="B37" s="151" t="str">
        <f t="shared" si="22"/>
        <v>--</v>
      </c>
      <c r="C37" s="151" t="str">
        <f t="shared" si="23"/>
        <v>--</v>
      </c>
      <c r="D37" s="151">
        <f t="shared" si="24"/>
        <v>324.86673999999999</v>
      </c>
      <c r="E37" s="151">
        <f t="shared" si="25"/>
        <v>304.44916000000001</v>
      </c>
      <c r="F37" s="151">
        <f t="shared" si="26"/>
        <v>28.128599999999999</v>
      </c>
      <c r="G37" s="151">
        <f t="shared" si="27"/>
        <v>100.59613078028714</v>
      </c>
      <c r="H37" s="152">
        <f t="shared" si="28"/>
        <v>3576.2935510578964</v>
      </c>
      <c r="I37" s="151">
        <f t="shared" si="29"/>
        <v>10.82347361759917</v>
      </c>
      <c r="K37" s="117" t="str">
        <f t="shared" si="35"/>
        <v>Sweden</v>
      </c>
      <c r="L37" s="116">
        <f t="shared" si="36"/>
        <v>82.29665</v>
      </c>
      <c r="M37" s="116">
        <f t="shared" si="36"/>
        <v>57.077730000000003</v>
      </c>
      <c r="N37" s="116">
        <f t="shared" si="36"/>
        <v>60.652940000000001</v>
      </c>
      <c r="O37" s="116">
        <f t="shared" si="36"/>
        <v>53.145850000000003</v>
      </c>
      <c r="P37" s="115">
        <f t="shared" si="36"/>
        <v>7.8501000000000003</v>
      </c>
      <c r="Q37" s="114">
        <f t="shared" si="37"/>
        <v>335.83475513428124</v>
      </c>
      <c r="R37" s="113">
        <f t="shared" si="32"/>
        <v>42780.952489048701</v>
      </c>
      <c r="S37" s="112">
        <f t="shared" si="33"/>
        <v>6.7700857313919567</v>
      </c>
      <c r="T37" s="111"/>
      <c r="U37" s="110" t="s">
        <v>255</v>
      </c>
      <c r="V37" s="109">
        <v>4.15611</v>
      </c>
      <c r="W37" s="109">
        <v>3.7841200000000002</v>
      </c>
      <c r="X37" s="109">
        <v>9.0597300000000001</v>
      </c>
      <c r="Y37" s="109">
        <v>11.70734</v>
      </c>
      <c r="Z37" s="108">
        <v>0.74477000000000004</v>
      </c>
      <c r="AA37" s="108">
        <v>0.40061000000000002</v>
      </c>
      <c r="AB37" s="100">
        <f t="shared" si="11"/>
        <v>29.223783729812038</v>
      </c>
      <c r="AC37" s="110" t="s">
        <v>255</v>
      </c>
      <c r="AD37" s="108">
        <v>11.70734</v>
      </c>
      <c r="AE37" s="101" t="str">
        <f t="shared" si="12"/>
        <v/>
      </c>
      <c r="AF37" s="110" t="s">
        <v>255</v>
      </c>
      <c r="AG37" s="108">
        <v>13.82446</v>
      </c>
      <c r="AH37" s="101" t="str">
        <f t="shared" si="13"/>
        <v/>
      </c>
    </row>
    <row r="38" spans="1:34" x14ac:dyDescent="0.35">
      <c r="A38" s="149" t="str">
        <f t="shared" si="21"/>
        <v>Uzbekistan</v>
      </c>
      <c r="B38" s="151" t="str">
        <f t="shared" si="22"/>
        <v>--</v>
      </c>
      <c r="C38" s="151" t="str">
        <f t="shared" si="23"/>
        <v>--</v>
      </c>
      <c r="D38" s="151">
        <f t="shared" si="24"/>
        <v>107.72731</v>
      </c>
      <c r="E38" s="151">
        <f t="shared" si="25"/>
        <v>115.88258</v>
      </c>
      <c r="F38" s="151">
        <f t="shared" si="26"/>
        <v>217.26007999999999</v>
      </c>
      <c r="G38" s="151">
        <f t="shared" si="27"/>
        <v>20.616521315243574</v>
      </c>
      <c r="H38" s="152">
        <f t="shared" si="28"/>
        <v>94.893278669710398</v>
      </c>
      <c r="I38" s="151">
        <f t="shared" si="29"/>
        <v>0.53338183434342845</v>
      </c>
      <c r="K38" s="117" t="str">
        <f t="shared" si="35"/>
        <v>Switzerland</v>
      </c>
      <c r="L38" s="116">
        <f t="shared" si="36"/>
        <v>47.21855</v>
      </c>
      <c r="M38" s="116">
        <f t="shared" si="36"/>
        <v>43.481389999999998</v>
      </c>
      <c r="N38" s="116">
        <f t="shared" si="36"/>
        <v>45.439459999999997</v>
      </c>
      <c r="O38" s="116">
        <f t="shared" si="36"/>
        <v>43.363999999999997</v>
      </c>
      <c r="P38" s="115">
        <f t="shared" si="36"/>
        <v>78.785550000000001</v>
      </c>
      <c r="Q38" s="114">
        <f t="shared" si="37"/>
        <v>394.57688808007276</v>
      </c>
      <c r="R38" s="113">
        <f t="shared" si="32"/>
        <v>5008.2393037818838</v>
      </c>
      <c r="S38" s="112">
        <f t="shared" si="33"/>
        <v>0.550405499485629</v>
      </c>
      <c r="T38" s="111"/>
      <c r="U38" s="110" t="s">
        <v>258</v>
      </c>
      <c r="V38" s="109">
        <v>1.4214800000000001</v>
      </c>
      <c r="W38" s="109">
        <v>0.67349000000000003</v>
      </c>
      <c r="X38" s="109">
        <v>1.68536</v>
      </c>
      <c r="Y38" s="109">
        <v>1.67262</v>
      </c>
      <c r="Z38" s="108">
        <v>9.7199299999999997</v>
      </c>
      <c r="AA38" s="108">
        <v>1.52549</v>
      </c>
      <c r="AB38" s="100">
        <f t="shared" si="11"/>
        <v>1.0964476987721978</v>
      </c>
      <c r="AC38" s="110" t="s">
        <v>258</v>
      </c>
      <c r="AD38" s="108">
        <v>1.67262</v>
      </c>
      <c r="AE38" s="101" t="str">
        <f t="shared" si="12"/>
        <v/>
      </c>
      <c r="AF38" s="110" t="s">
        <v>258</v>
      </c>
      <c r="AG38" s="108">
        <v>0.74477000000000004</v>
      </c>
      <c r="AH38" s="101" t="str">
        <f t="shared" si="13"/>
        <v/>
      </c>
    </row>
    <row r="39" spans="1:34" x14ac:dyDescent="0.35">
      <c r="A39" s="149" t="str">
        <f t="shared" si="21"/>
        <v>Middle East</v>
      </c>
      <c r="B39" s="153">
        <f t="shared" si="22"/>
        <v>490.73070999999999</v>
      </c>
      <c r="C39" s="153">
        <f t="shared" si="23"/>
        <v>729.88176999999996</v>
      </c>
      <c r="D39" s="153">
        <f t="shared" si="24"/>
        <v>1094.9925900000001</v>
      </c>
      <c r="E39" s="153">
        <f t="shared" si="25"/>
        <v>1951.8079399999999</v>
      </c>
      <c r="F39" s="153">
        <f t="shared" si="26"/>
        <v>1.2146999999999999</v>
      </c>
      <c r="G39" s="153">
        <f t="shared" si="27"/>
        <v>1497.7270522874812</v>
      </c>
      <c r="H39" s="154">
        <f t="shared" si="28"/>
        <v>1233001.6072178162</v>
      </c>
      <c r="I39" s="153">
        <f t="shared" si="29"/>
        <v>1606.8230344941139</v>
      </c>
      <c r="K39" s="117" t="str">
        <f t="shared" si="35"/>
        <v>Turkey</v>
      </c>
      <c r="L39" s="116">
        <f t="shared" si="36"/>
        <v>68.594110000000001</v>
      </c>
      <c r="M39" s="116">
        <f t="shared" si="36"/>
        <v>129.47583</v>
      </c>
      <c r="N39" s="116">
        <f t="shared" si="36"/>
        <v>201.92614</v>
      </c>
      <c r="O39" s="116">
        <f t="shared" si="36"/>
        <v>296.33521999999999</v>
      </c>
      <c r="P39" s="115">
        <f t="shared" si="36"/>
        <v>62.698360000000001</v>
      </c>
      <c r="Q39" s="114">
        <f t="shared" si="37"/>
        <v>627.57622990745244</v>
      </c>
      <c r="R39" s="113">
        <f t="shared" si="32"/>
        <v>10009.452079886179</v>
      </c>
      <c r="S39" s="112">
        <f t="shared" si="33"/>
        <v>4.7263631776014554</v>
      </c>
      <c r="T39" s="111"/>
      <c r="U39" s="110" t="s">
        <v>259</v>
      </c>
      <c r="V39" s="109">
        <v>0.84968999999999995</v>
      </c>
      <c r="W39" s="109">
        <v>0.74324999999999997</v>
      </c>
      <c r="X39" s="109">
        <v>1.5181100000000001</v>
      </c>
      <c r="Y39" s="109">
        <v>2.1030899999999999</v>
      </c>
      <c r="Z39" s="108">
        <v>8.1435600000000008</v>
      </c>
      <c r="AA39" s="108">
        <v>0.35136000000000001</v>
      </c>
      <c r="AB39" s="100">
        <f t="shared" si="11"/>
        <v>5.985570355191256</v>
      </c>
      <c r="AC39" s="110" t="s">
        <v>259</v>
      </c>
      <c r="AD39" s="108">
        <v>2.1030899999999999</v>
      </c>
      <c r="AE39" s="101" t="str">
        <f t="shared" si="12"/>
        <v/>
      </c>
      <c r="AF39" s="110" t="s">
        <v>259</v>
      </c>
      <c r="AG39" s="108">
        <v>9.7199299999999997</v>
      </c>
      <c r="AH39" s="101" t="str">
        <f t="shared" si="13"/>
        <v/>
      </c>
    </row>
    <row r="40" spans="1:34" x14ac:dyDescent="0.35">
      <c r="A40" s="149" t="str">
        <f t="shared" si="21"/>
        <v>Iran</v>
      </c>
      <c r="B40" s="151">
        <f t="shared" si="22"/>
        <v>116.82839</v>
      </c>
      <c r="C40" s="151">
        <f t="shared" si="23"/>
        <v>202.10583</v>
      </c>
      <c r="D40" s="151">
        <f t="shared" si="24"/>
        <v>321.67845999999997</v>
      </c>
      <c r="E40" s="151">
        <f t="shared" si="25"/>
        <v>624.85537999999997</v>
      </c>
      <c r="F40" s="151">
        <f t="shared" si="26"/>
        <v>30.399570000000001</v>
      </c>
      <c r="G40" s="151">
        <f t="shared" si="27"/>
        <v>240.65387503899493</v>
      </c>
      <c r="H40" s="152">
        <f t="shared" si="28"/>
        <v>7916.3578642393595</v>
      </c>
      <c r="I40" s="151">
        <f t="shared" si="29"/>
        <v>20.554744030918858</v>
      </c>
      <c r="K40" s="117" t="str">
        <f t="shared" si="35"/>
        <v>United Kingdom</v>
      </c>
      <c r="L40" s="116">
        <f t="shared" si="36"/>
        <v>613.56839000000002</v>
      </c>
      <c r="M40" s="116">
        <f t="shared" si="36"/>
        <v>601.82453999999996</v>
      </c>
      <c r="N40" s="116">
        <f t="shared" si="36"/>
        <v>560.33888000000002</v>
      </c>
      <c r="O40" s="116">
        <f t="shared" si="36"/>
        <v>496.79921999999999</v>
      </c>
      <c r="P40" s="115">
        <f t="shared" si="36"/>
        <v>288.49885999999998</v>
      </c>
      <c r="Q40" s="114">
        <f t="shared" si="37"/>
        <v>2169.0500349283966</v>
      </c>
      <c r="R40" s="113">
        <f t="shared" si="32"/>
        <v>7518.4007137095678</v>
      </c>
      <c r="S40" s="112">
        <f t="shared" si="33"/>
        <v>1.7220144994680395</v>
      </c>
      <c r="T40" s="111"/>
      <c r="U40" s="110" t="s">
        <v>260</v>
      </c>
      <c r="V40" s="109">
        <v>1.6977899999999999</v>
      </c>
      <c r="W40" s="109">
        <v>2.7272099999999999</v>
      </c>
      <c r="X40" s="109">
        <v>4.5827099999999996</v>
      </c>
      <c r="Y40" s="109">
        <v>7.9748700000000001</v>
      </c>
      <c r="Z40" s="108">
        <v>2.8683800000000002</v>
      </c>
      <c r="AA40" s="108">
        <v>0.71848000000000001</v>
      </c>
      <c r="AB40" s="100">
        <f t="shared" si="11"/>
        <v>11.09964090858479</v>
      </c>
      <c r="AC40" s="110" t="s">
        <v>260</v>
      </c>
      <c r="AD40" s="108">
        <v>7.9748700000000001</v>
      </c>
      <c r="AE40" s="101" t="str">
        <f t="shared" si="12"/>
        <v/>
      </c>
      <c r="AF40" s="110" t="s">
        <v>260</v>
      </c>
      <c r="AG40" s="108">
        <v>8.1435600000000008</v>
      </c>
      <c r="AH40" s="101" t="str">
        <f t="shared" si="13"/>
        <v/>
      </c>
    </row>
    <row r="41" spans="1:34" x14ac:dyDescent="0.35">
      <c r="A41" s="149" t="str">
        <f t="shared" si="21"/>
        <v>Iraq</v>
      </c>
      <c r="B41" s="151">
        <f t="shared" si="22"/>
        <v>51.669289999999997</v>
      </c>
      <c r="C41" s="151">
        <f t="shared" si="23"/>
        <v>69.189570000000003</v>
      </c>
      <c r="D41" s="151">
        <f t="shared" si="24"/>
        <v>73.581950000000006</v>
      </c>
      <c r="E41" s="151">
        <f t="shared" si="25"/>
        <v>139.35388</v>
      </c>
      <c r="F41" s="151">
        <f t="shared" si="26"/>
        <v>7.4730499999999997</v>
      </c>
      <c r="G41" s="151">
        <f t="shared" si="27"/>
        <v>100.86777894393978</v>
      </c>
      <c r="H41" s="152">
        <f t="shared" si="28"/>
        <v>13497.538346985471</v>
      </c>
      <c r="I41" s="151">
        <f t="shared" si="29"/>
        <v>18.647524103277778</v>
      </c>
      <c r="K41" s="117" t="str">
        <f t="shared" si="35"/>
        <v>Eurasia</v>
      </c>
      <c r="L41" s="135">
        <f t="shared" si="36"/>
        <v>3081.8701799999999</v>
      </c>
      <c r="M41" s="135">
        <f t="shared" si="36"/>
        <v>3820.84978</v>
      </c>
      <c r="N41" s="135">
        <f t="shared" si="36"/>
        <v>2261.0521100000001</v>
      </c>
      <c r="O41" s="135">
        <f t="shared" si="36"/>
        <v>2638.6259300000002</v>
      </c>
      <c r="P41" s="136">
        <f t="shared" si="36"/>
        <v>2.9679799999999998</v>
      </c>
      <c r="Q41" s="137">
        <f t="shared" si="37"/>
        <v>1356.6269903701304</v>
      </c>
      <c r="R41" s="138">
        <f t="shared" si="32"/>
        <v>457087.645594017</v>
      </c>
      <c r="S41" s="139">
        <f t="shared" si="33"/>
        <v>889.03089980390712</v>
      </c>
      <c r="T41" s="111"/>
      <c r="U41" s="110" t="s">
        <v>266</v>
      </c>
      <c r="V41" s="109">
        <v>7.78939</v>
      </c>
      <c r="W41" s="109">
        <v>7.5375500000000004</v>
      </c>
      <c r="X41" s="109">
        <v>10.828810000000001</v>
      </c>
      <c r="Y41" s="109">
        <v>9.5567499999999992</v>
      </c>
      <c r="Z41" s="108">
        <v>0.40914</v>
      </c>
      <c r="AA41" s="108">
        <v>0.93744000000000005</v>
      </c>
      <c r="AB41" s="100">
        <f t="shared" si="11"/>
        <v>10.194519115890083</v>
      </c>
      <c r="AC41" s="110" t="s">
        <v>266</v>
      </c>
      <c r="AD41" s="108">
        <v>9.5567499999999992</v>
      </c>
      <c r="AE41" s="101" t="str">
        <f t="shared" si="12"/>
        <v/>
      </c>
      <c r="AF41" s="110" t="s">
        <v>266</v>
      </c>
      <c r="AG41" s="108">
        <v>2.8683800000000002</v>
      </c>
      <c r="AH41" s="101" t="str">
        <f t="shared" si="13"/>
        <v/>
      </c>
    </row>
    <row r="42" spans="1:34" x14ac:dyDescent="0.35">
      <c r="A42" s="149" t="str">
        <f t="shared" ref="A42:I49" si="38">+K50</f>
        <v>Qatar</v>
      </c>
      <c r="B42" s="151">
        <f t="shared" si="38"/>
        <v>13.863390000000001</v>
      </c>
      <c r="C42" s="151">
        <f t="shared" si="38"/>
        <v>18.77721</v>
      </c>
      <c r="D42" s="151">
        <f t="shared" si="38"/>
        <v>34.698340000000002</v>
      </c>
      <c r="E42" s="151">
        <f t="shared" si="38"/>
        <v>64.458290000000005</v>
      </c>
      <c r="F42" s="151">
        <f t="shared" si="38"/>
        <v>26.131699999999999</v>
      </c>
      <c r="G42" s="151">
        <f t="shared" si="38"/>
        <v>102.50185258805757</v>
      </c>
      <c r="H42" s="152">
        <f t="shared" si="38"/>
        <v>3922.5099242704291</v>
      </c>
      <c r="I42" s="151">
        <f t="shared" si="38"/>
        <v>2.4666703658774596</v>
      </c>
      <c r="K42" s="117" t="str">
        <f>U109</f>
        <v>Kazakhstan</v>
      </c>
      <c r="L42" s="116" t="str">
        <f>+V109</f>
        <v>--</v>
      </c>
      <c r="M42" s="116" t="str">
        <f>+W109</f>
        <v>--</v>
      </c>
      <c r="N42" s="116">
        <f>+X109</f>
        <v>132.71124</v>
      </c>
      <c r="O42" s="116">
        <f>+Y109</f>
        <v>195.35452000000001</v>
      </c>
      <c r="P42" s="115">
        <f>+Z109</f>
        <v>5.45078</v>
      </c>
      <c r="Q42" s="114">
        <f>AB109</f>
        <v>80.084990202267832</v>
      </c>
      <c r="R42" s="113">
        <f t="shared" si="32"/>
        <v>14692.390850899841</v>
      </c>
      <c r="S42" s="112">
        <f t="shared" si="33"/>
        <v>35.839736698234013</v>
      </c>
      <c r="T42" s="111"/>
      <c r="U42" s="110" t="s">
        <v>570</v>
      </c>
      <c r="V42" s="109">
        <v>0.63456999999999997</v>
      </c>
      <c r="W42" s="109">
        <v>1.5690900000000001</v>
      </c>
      <c r="X42" s="109">
        <v>2.0565799999999999</v>
      </c>
      <c r="Y42" s="109">
        <v>2.8528699999999998</v>
      </c>
      <c r="Z42" s="108">
        <v>5.1399999999999996E-3</v>
      </c>
      <c r="AA42" s="108">
        <v>0.28953000000000001</v>
      </c>
      <c r="AB42" s="100">
        <f t="shared" si="11"/>
        <v>9.8534521465823914</v>
      </c>
      <c r="AC42" s="110" t="s">
        <v>570</v>
      </c>
      <c r="AD42" s="108">
        <v>2.8528699999999998</v>
      </c>
      <c r="AE42" s="101" t="str">
        <f t="shared" si="12"/>
        <v/>
      </c>
      <c r="AF42" s="110" t="s">
        <v>570</v>
      </c>
      <c r="AG42" s="108">
        <v>0.40914</v>
      </c>
      <c r="AH42" s="101" t="str">
        <f t="shared" si="13"/>
        <v/>
      </c>
    </row>
    <row r="43" spans="1:34" x14ac:dyDescent="0.35">
      <c r="A43" s="149" t="str">
        <f t="shared" si="38"/>
        <v>Saudi Arabia</v>
      </c>
      <c r="B43" s="151">
        <f t="shared" si="38"/>
        <v>176.92239000000001</v>
      </c>
      <c r="C43" s="151">
        <f t="shared" si="38"/>
        <v>208.02435</v>
      </c>
      <c r="D43" s="151">
        <f t="shared" si="38"/>
        <v>290.53937999999999</v>
      </c>
      <c r="E43" s="151">
        <f t="shared" si="38"/>
        <v>513.52677000000006</v>
      </c>
      <c r="F43" s="151">
        <f t="shared" si="38"/>
        <v>22.517749999999999</v>
      </c>
      <c r="G43" s="151">
        <f t="shared" si="38"/>
        <v>385.61745888713676</v>
      </c>
      <c r="H43" s="152">
        <f t="shared" si="38"/>
        <v>17125.043971406412</v>
      </c>
      <c r="I43" s="151">
        <f t="shared" si="38"/>
        <v>22.805421056721922</v>
      </c>
      <c r="K43" s="117" t="str">
        <f>U114</f>
        <v>Russia</v>
      </c>
      <c r="L43" s="116" t="str">
        <f>+V114</f>
        <v>--</v>
      </c>
      <c r="M43" s="116" t="str">
        <f>+W114</f>
        <v>--</v>
      </c>
      <c r="N43" s="116">
        <f>+X114</f>
        <v>1498.77334</v>
      </c>
      <c r="O43" s="116">
        <f>+Y114</f>
        <v>1788.1364599999999</v>
      </c>
      <c r="P43" s="115">
        <f>+Z114</f>
        <v>7.6272000000000002</v>
      </c>
      <c r="Q43" s="114">
        <f>AB114</f>
        <v>984.64037488367478</v>
      </c>
      <c r="R43" s="113">
        <f t="shared" si="32"/>
        <v>129095.91657274947</v>
      </c>
      <c r="S43" s="112">
        <f t="shared" si="33"/>
        <v>234.44205737361023</v>
      </c>
      <c r="T43" s="111"/>
      <c r="U43" s="110" t="s">
        <v>571</v>
      </c>
      <c r="V43" s="109">
        <v>1.6879999999999999E-2</v>
      </c>
      <c r="W43" s="109">
        <v>3.7789999999999997E-2</v>
      </c>
      <c r="X43" s="109">
        <v>5.4019999999999999E-2</v>
      </c>
      <c r="Y43" s="109">
        <v>8.7859999999999994E-2</v>
      </c>
      <c r="Z43" s="108">
        <v>0.23050000000000001</v>
      </c>
      <c r="AA43" s="108" t="s">
        <v>590</v>
      </c>
      <c r="AB43" s="100" t="e">
        <f t="shared" si="11"/>
        <v>#VALUE!</v>
      </c>
      <c r="AC43" s="110" t="s">
        <v>571</v>
      </c>
      <c r="AD43" s="108">
        <v>8.7859999999999994E-2</v>
      </c>
      <c r="AE43" s="101" t="str">
        <f t="shared" si="12"/>
        <v/>
      </c>
      <c r="AF43" s="110" t="s">
        <v>571</v>
      </c>
      <c r="AG43" s="108">
        <v>5.1399999999999996E-3</v>
      </c>
      <c r="AH43" s="101" t="str">
        <f t="shared" si="13"/>
        <v/>
      </c>
    </row>
    <row r="44" spans="1:34" x14ac:dyDescent="0.35">
      <c r="A44" s="149" t="str">
        <f t="shared" si="38"/>
        <v>Syria</v>
      </c>
      <c r="B44" s="151">
        <f t="shared" si="38"/>
        <v>16.430240000000001</v>
      </c>
      <c r="C44" s="151">
        <f t="shared" si="38"/>
        <v>36.9253</v>
      </c>
      <c r="D44" s="151">
        <f t="shared" si="38"/>
        <v>50.99418</v>
      </c>
      <c r="E44" s="151">
        <f t="shared" si="38"/>
        <v>63.142049999999998</v>
      </c>
      <c r="F44" s="151">
        <f t="shared" si="38"/>
        <v>5.1486599999999996</v>
      </c>
      <c r="G44" s="151">
        <f t="shared" si="38"/>
        <v>35.725549105475778</v>
      </c>
      <c r="H44" s="152">
        <f t="shared" si="38"/>
        <v>6938.8052630151888</v>
      </c>
      <c r="I44" s="151">
        <f t="shared" si="38"/>
        <v>12.263783197958304</v>
      </c>
      <c r="K44" s="117" t="str">
        <f>U117</f>
        <v>Ukraine</v>
      </c>
      <c r="L44" s="116" t="str">
        <f t="shared" ref="L44:P46" si="39">+V117</f>
        <v>--</v>
      </c>
      <c r="M44" s="116" t="str">
        <f t="shared" si="39"/>
        <v>--</v>
      </c>
      <c r="N44" s="116">
        <f t="shared" si="39"/>
        <v>324.86673999999999</v>
      </c>
      <c r="O44" s="116">
        <f t="shared" si="39"/>
        <v>304.44916000000001</v>
      </c>
      <c r="P44" s="115">
        <f t="shared" si="39"/>
        <v>28.128599999999999</v>
      </c>
      <c r="Q44" s="114">
        <f>AB117</f>
        <v>100.59613078028714</v>
      </c>
      <c r="R44" s="113">
        <f t="shared" si="32"/>
        <v>3576.2935510578964</v>
      </c>
      <c r="S44" s="112">
        <f t="shared" si="33"/>
        <v>10.82347361759917</v>
      </c>
      <c r="T44" s="111"/>
      <c r="U44" s="110" t="s">
        <v>296</v>
      </c>
      <c r="V44" s="109">
        <v>15.986840000000001</v>
      </c>
      <c r="W44" s="109">
        <v>9.7443200000000001</v>
      </c>
      <c r="X44" s="109">
        <v>11.61736</v>
      </c>
      <c r="Y44" s="109">
        <v>10.814220000000001</v>
      </c>
      <c r="Z44" s="108">
        <v>5.6662999999999997</v>
      </c>
      <c r="AA44" s="108">
        <v>2.4430700000000001</v>
      </c>
      <c r="AB44" s="100">
        <f t="shared" si="11"/>
        <v>4.4264879843803087</v>
      </c>
      <c r="AC44" s="110" t="s">
        <v>296</v>
      </c>
      <c r="AD44" s="108">
        <v>10.814220000000001</v>
      </c>
      <c r="AE44" s="101" t="str">
        <f t="shared" si="12"/>
        <v/>
      </c>
      <c r="AF44" s="110" t="s">
        <v>296</v>
      </c>
      <c r="AG44" s="108">
        <v>0.23050000000000001</v>
      </c>
      <c r="AH44" s="101" t="str">
        <f t="shared" si="13"/>
        <v/>
      </c>
    </row>
    <row r="45" spans="1:34" ht="30.5" x14ac:dyDescent="0.35">
      <c r="A45" s="149" t="str">
        <f t="shared" si="38"/>
        <v>United Arab Emirates</v>
      </c>
      <c r="B45" s="151">
        <f t="shared" si="38"/>
        <v>30.311689999999999</v>
      </c>
      <c r="C45" s="151">
        <f t="shared" si="38"/>
        <v>79.080479999999994</v>
      </c>
      <c r="D45" s="151">
        <f t="shared" si="38"/>
        <v>115.72235000000001</v>
      </c>
      <c r="E45" s="151">
        <f t="shared" si="38"/>
        <v>245.37672000000001</v>
      </c>
      <c r="F45" s="151">
        <f t="shared" si="38"/>
        <v>24.133489999999998</v>
      </c>
      <c r="G45" s="151">
        <f t="shared" si="38"/>
        <v>217.09566740690275</v>
      </c>
      <c r="H45" s="152">
        <f t="shared" si="38"/>
        <v>8995.6184292824109</v>
      </c>
      <c r="I45" s="151">
        <f t="shared" si="38"/>
        <v>10.167477642065032</v>
      </c>
      <c r="K45" s="117" t="str">
        <f>U118</f>
        <v>Uzbekistan</v>
      </c>
      <c r="L45" s="116" t="str">
        <f t="shared" si="39"/>
        <v>--</v>
      </c>
      <c r="M45" s="116" t="str">
        <f t="shared" si="39"/>
        <v>--</v>
      </c>
      <c r="N45" s="116">
        <f t="shared" si="39"/>
        <v>107.72731</v>
      </c>
      <c r="O45" s="116">
        <f t="shared" si="39"/>
        <v>115.88258</v>
      </c>
      <c r="P45" s="115">
        <f t="shared" si="39"/>
        <v>217.26007999999999</v>
      </c>
      <c r="Q45" s="114">
        <f>AB118</f>
        <v>20.616521315243574</v>
      </c>
      <c r="R45" s="113">
        <f t="shared" si="32"/>
        <v>94.893278669710398</v>
      </c>
      <c r="S45" s="112">
        <f t="shared" si="33"/>
        <v>0.53338183434342845</v>
      </c>
      <c r="T45" s="111"/>
      <c r="U45" s="110" t="s">
        <v>298</v>
      </c>
      <c r="V45" s="109">
        <v>1.8426100000000001</v>
      </c>
      <c r="W45" s="109">
        <v>2.0116999999999998</v>
      </c>
      <c r="X45" s="109">
        <v>3.7030599999999998</v>
      </c>
      <c r="Y45" s="109">
        <v>5.0345199999999997</v>
      </c>
      <c r="Z45" s="108">
        <v>3.4604599999999999</v>
      </c>
      <c r="AA45" s="108">
        <v>0.87260000000000004</v>
      </c>
      <c r="AB45" s="100">
        <f t="shared" si="11"/>
        <v>5.7695622278248901</v>
      </c>
      <c r="AC45" s="110" t="s">
        <v>298</v>
      </c>
      <c r="AD45" s="108">
        <v>5.0345199999999997</v>
      </c>
      <c r="AE45" s="101" t="str">
        <f t="shared" si="12"/>
        <v/>
      </c>
      <c r="AF45" s="110" t="s">
        <v>298</v>
      </c>
      <c r="AG45" s="108">
        <v>5.6662999999999997</v>
      </c>
      <c r="AH45" s="101" t="str">
        <f t="shared" si="13"/>
        <v/>
      </c>
    </row>
    <row r="46" spans="1:34" x14ac:dyDescent="0.35">
      <c r="A46" s="149" t="str">
        <f t="shared" si="38"/>
        <v>Yemen</v>
      </c>
      <c r="B46" s="151">
        <f t="shared" si="38"/>
        <v>6.4342199999999998</v>
      </c>
      <c r="C46" s="151">
        <f t="shared" si="38"/>
        <v>11.441700000000001</v>
      </c>
      <c r="D46" s="151">
        <f t="shared" si="38"/>
        <v>13.17836</v>
      </c>
      <c r="E46" s="151">
        <f t="shared" si="38"/>
        <v>23.748529999999999</v>
      </c>
      <c r="F46" s="151">
        <f t="shared" si="38"/>
        <v>1049.4785899999999</v>
      </c>
      <c r="G46" s="151">
        <f t="shared" si="38"/>
        <v>21.926037742817044</v>
      </c>
      <c r="H46" s="152">
        <f t="shared" si="38"/>
        <v>20.892315433340137</v>
      </c>
      <c r="I46" s="151">
        <f t="shared" si="38"/>
        <v>2.262888469215937E-2</v>
      </c>
      <c r="K46" s="117" t="str">
        <f>U119</f>
        <v>Middle East</v>
      </c>
      <c r="L46" s="116">
        <f t="shared" si="39"/>
        <v>490.73070999999999</v>
      </c>
      <c r="M46" s="116">
        <f t="shared" si="39"/>
        <v>729.88176999999996</v>
      </c>
      <c r="N46" s="116">
        <f t="shared" si="39"/>
        <v>1094.9925900000001</v>
      </c>
      <c r="O46" s="116">
        <f t="shared" si="39"/>
        <v>1951.8079399999999</v>
      </c>
      <c r="P46" s="115">
        <f t="shared" si="39"/>
        <v>1.2146999999999999</v>
      </c>
      <c r="Q46" s="114">
        <f>AB119</f>
        <v>1497.7270522874812</v>
      </c>
      <c r="R46" s="113">
        <f t="shared" si="32"/>
        <v>1233001.6072178162</v>
      </c>
      <c r="S46" s="112">
        <f t="shared" si="33"/>
        <v>1606.8230344941139</v>
      </c>
      <c r="T46" s="111"/>
      <c r="U46" s="110" t="s">
        <v>303</v>
      </c>
      <c r="V46" s="109">
        <v>5.3949199999999999</v>
      </c>
      <c r="W46" s="109">
        <v>11.79867</v>
      </c>
      <c r="X46" s="109">
        <v>12.937480000000001</v>
      </c>
      <c r="Y46" s="109">
        <v>15.89995</v>
      </c>
      <c r="Z46" s="108">
        <v>6.45906</v>
      </c>
      <c r="AA46" s="108">
        <v>0.68145</v>
      </c>
      <c r="AB46" s="100">
        <f t="shared" si="11"/>
        <v>23.332526230831316</v>
      </c>
      <c r="AC46" s="110" t="s">
        <v>303</v>
      </c>
      <c r="AD46" s="108">
        <v>15.89995</v>
      </c>
      <c r="AE46" s="101" t="str">
        <f t="shared" si="12"/>
        <v/>
      </c>
      <c r="AF46" s="110" t="s">
        <v>303</v>
      </c>
      <c r="AG46" s="108">
        <v>3.4604599999999999</v>
      </c>
      <c r="AH46" s="101" t="str">
        <f t="shared" si="13"/>
        <v/>
      </c>
    </row>
    <row r="47" spans="1:34" x14ac:dyDescent="0.35">
      <c r="A47" s="149" t="str">
        <f t="shared" si="38"/>
        <v>Africa</v>
      </c>
      <c r="B47" s="153">
        <f t="shared" si="38"/>
        <v>537.12487999999996</v>
      </c>
      <c r="C47" s="153">
        <f t="shared" si="38"/>
        <v>725.69794999999999</v>
      </c>
      <c r="D47" s="153">
        <f t="shared" si="38"/>
        <v>887.24913000000004</v>
      </c>
      <c r="E47" s="153">
        <f t="shared" si="38"/>
        <v>1152.22118</v>
      </c>
      <c r="F47" s="153">
        <f t="shared" si="38"/>
        <v>36.654290000000003</v>
      </c>
      <c r="G47" s="153">
        <f t="shared" si="38"/>
        <v>1263.7745604510108</v>
      </c>
      <c r="H47" s="154">
        <f t="shared" si="38"/>
        <v>34478.216886782167</v>
      </c>
      <c r="I47" s="153">
        <f t="shared" si="38"/>
        <v>31.434824682185901</v>
      </c>
      <c r="K47" s="117" t="str">
        <f>U121</f>
        <v>Iran</v>
      </c>
      <c r="L47" s="116">
        <f t="shared" ref="L47:P48" si="40">+V121</f>
        <v>116.82839</v>
      </c>
      <c r="M47" s="116">
        <f t="shared" si="40"/>
        <v>202.10583</v>
      </c>
      <c r="N47" s="116">
        <f t="shared" si="40"/>
        <v>321.67845999999997</v>
      </c>
      <c r="O47" s="116">
        <f t="shared" si="40"/>
        <v>624.85537999999997</v>
      </c>
      <c r="P47" s="115">
        <f t="shared" si="40"/>
        <v>30.399570000000001</v>
      </c>
      <c r="Q47" s="114">
        <f>AB121</f>
        <v>240.65387503899493</v>
      </c>
      <c r="R47" s="113">
        <f t="shared" si="32"/>
        <v>7916.3578642393595</v>
      </c>
      <c r="S47" s="112">
        <f t="shared" si="33"/>
        <v>20.554744030918858</v>
      </c>
      <c r="T47" s="111"/>
      <c r="U47" s="110" t="s">
        <v>305</v>
      </c>
      <c r="V47" s="109">
        <v>1.3859999999999999</v>
      </c>
      <c r="W47" s="109">
        <v>2.19678</v>
      </c>
      <c r="X47" s="109">
        <v>3.5606900000000001</v>
      </c>
      <c r="Y47" s="109">
        <v>3.9868700000000001</v>
      </c>
      <c r="Z47" s="108">
        <v>29.248940000000001</v>
      </c>
      <c r="AA47" s="108">
        <v>0.47654000000000002</v>
      </c>
      <c r="AB47" s="100">
        <f t="shared" si="11"/>
        <v>8.3662861459688589</v>
      </c>
      <c r="AC47" s="110" t="s">
        <v>305</v>
      </c>
      <c r="AD47" s="108">
        <v>3.9868700000000001</v>
      </c>
      <c r="AE47" s="101" t="str">
        <f t="shared" si="12"/>
        <v/>
      </c>
      <c r="AF47" s="110" t="s">
        <v>305</v>
      </c>
      <c r="AG47" s="108">
        <v>6.45906</v>
      </c>
      <c r="AH47" s="101" t="str">
        <f t="shared" si="13"/>
        <v/>
      </c>
    </row>
    <row r="48" spans="1:34" x14ac:dyDescent="0.35">
      <c r="A48" s="149" t="str">
        <f t="shared" si="38"/>
        <v>Algeria</v>
      </c>
      <c r="B48" s="151">
        <f t="shared" si="38"/>
        <v>66.978700000000003</v>
      </c>
      <c r="C48" s="151">
        <f t="shared" si="38"/>
        <v>83.119100000000003</v>
      </c>
      <c r="D48" s="151">
        <f t="shared" si="38"/>
        <v>83.62997</v>
      </c>
      <c r="E48" s="151">
        <f t="shared" si="38"/>
        <v>117.24099</v>
      </c>
      <c r="F48" s="151">
        <f t="shared" si="38"/>
        <v>17.544730000000001</v>
      </c>
      <c r="G48" s="151">
        <f t="shared" si="38"/>
        <v>127.69680433930205</v>
      </c>
      <c r="H48" s="152">
        <f t="shared" si="38"/>
        <v>7278.3567680609531</v>
      </c>
      <c r="I48" s="151">
        <f t="shared" si="38"/>
        <v>6.6824049158921222</v>
      </c>
      <c r="K48" s="117" t="str">
        <f>U122</f>
        <v>Iraq</v>
      </c>
      <c r="L48" s="116">
        <f t="shared" si="40"/>
        <v>51.669289999999997</v>
      </c>
      <c r="M48" s="116">
        <f t="shared" si="40"/>
        <v>69.189570000000003</v>
      </c>
      <c r="N48" s="116">
        <f t="shared" si="40"/>
        <v>73.581950000000006</v>
      </c>
      <c r="O48" s="116">
        <f t="shared" si="40"/>
        <v>139.35388</v>
      </c>
      <c r="P48" s="115">
        <f t="shared" si="40"/>
        <v>7.4730499999999997</v>
      </c>
      <c r="Q48" s="114">
        <f>AB122</f>
        <v>100.86777894393978</v>
      </c>
      <c r="R48" s="113">
        <f t="shared" si="32"/>
        <v>13497.538346985471</v>
      </c>
      <c r="S48" s="112">
        <f t="shared" si="33"/>
        <v>18.647524103277778</v>
      </c>
      <c r="T48" s="111"/>
      <c r="U48" s="110" t="s">
        <v>306</v>
      </c>
      <c r="V48" s="109">
        <v>21.829989999999999</v>
      </c>
      <c r="W48" s="109">
        <v>20.095320000000001</v>
      </c>
      <c r="X48" s="109">
        <v>26.918510000000001</v>
      </c>
      <c r="Y48" s="109">
        <v>37.709980000000002</v>
      </c>
      <c r="Z48" s="108">
        <v>3.70669</v>
      </c>
      <c r="AA48" s="108">
        <v>0.37591999999999998</v>
      </c>
      <c r="AB48" s="100">
        <f t="shared" si="11"/>
        <v>100.31384337093</v>
      </c>
      <c r="AC48" s="110" t="s">
        <v>306</v>
      </c>
      <c r="AD48" s="108">
        <v>37.709980000000002</v>
      </c>
      <c r="AE48" s="101" t="str">
        <f t="shared" si="12"/>
        <v/>
      </c>
      <c r="AF48" s="110" t="s">
        <v>306</v>
      </c>
      <c r="AG48" s="108">
        <v>29.248940000000001</v>
      </c>
      <c r="AH48" s="101" t="str">
        <f t="shared" si="13"/>
        <v/>
      </c>
    </row>
    <row r="49" spans="1:34" x14ac:dyDescent="0.35">
      <c r="A49" s="149" t="str">
        <f t="shared" si="38"/>
        <v>Angola</v>
      </c>
      <c r="B49" s="151">
        <f t="shared" si="38"/>
        <v>3.3891200000000001</v>
      </c>
      <c r="C49" s="151">
        <f t="shared" si="38"/>
        <v>7.1684799999999997</v>
      </c>
      <c r="D49" s="151">
        <f t="shared" si="38"/>
        <v>13.03284</v>
      </c>
      <c r="E49" s="151">
        <f t="shared" si="38"/>
        <v>26.973330000000001</v>
      </c>
      <c r="F49" s="151">
        <f t="shared" si="38"/>
        <v>9.3250299999999999</v>
      </c>
      <c r="G49" s="151">
        <f t="shared" si="38"/>
        <v>59.192279839364481</v>
      </c>
      <c r="H49" s="152">
        <f t="shared" si="38"/>
        <v>6347.6771484235951</v>
      </c>
      <c r="I49" s="151">
        <f t="shared" si="38"/>
        <v>2.8925729997651484</v>
      </c>
      <c r="K49" s="117" t="str">
        <f>U125</f>
        <v>Kuwait</v>
      </c>
      <c r="L49" s="116">
        <f>+V125</f>
        <v>31.411650000000002</v>
      </c>
      <c r="M49" s="116">
        <f>+W125</f>
        <v>27.73969</v>
      </c>
      <c r="N49" s="116">
        <f>+X125</f>
        <v>59.49859</v>
      </c>
      <c r="O49" s="116">
        <f>+Y125</f>
        <v>82.369320000000002</v>
      </c>
      <c r="P49" s="115">
        <f>+Z125</f>
        <v>4.1430999999999996</v>
      </c>
      <c r="Q49" s="114">
        <f>AB125</f>
        <v>96.472657851278399</v>
      </c>
      <c r="R49" s="113">
        <f t="shared" si="32"/>
        <v>23285.138628388984</v>
      </c>
      <c r="S49" s="112">
        <f t="shared" si="33"/>
        <v>19.881084212304799</v>
      </c>
      <c r="T49" s="111"/>
      <c r="U49" s="110" t="s">
        <v>572</v>
      </c>
      <c r="V49" s="109">
        <v>28.878340000000001</v>
      </c>
      <c r="W49" s="109">
        <v>20.22531</v>
      </c>
      <c r="X49" s="109">
        <v>27.715589999999999</v>
      </c>
      <c r="Y49" s="109">
        <v>28.525040000000001</v>
      </c>
      <c r="Z49" s="108">
        <v>5.0310000000000001E-2</v>
      </c>
      <c r="AA49" s="108">
        <v>0.40439000000000003</v>
      </c>
      <c r="AB49" s="100">
        <f t="shared" si="11"/>
        <v>70.538440614258505</v>
      </c>
      <c r="AC49" s="110" t="s">
        <v>572</v>
      </c>
      <c r="AD49" s="108">
        <v>28.525040000000001</v>
      </c>
      <c r="AE49" s="101" t="str">
        <f t="shared" si="12"/>
        <v/>
      </c>
      <c r="AF49" s="110" t="s">
        <v>572</v>
      </c>
      <c r="AG49" s="108">
        <v>3.70669</v>
      </c>
      <c r="AH49" s="101" t="str">
        <f t="shared" si="13"/>
        <v/>
      </c>
    </row>
    <row r="50" spans="1:34" ht="30.5" x14ac:dyDescent="0.35">
      <c r="A50" s="149" t="str">
        <f t="shared" ref="A50:I52" si="41">+K59</f>
        <v>Congo (Kinshasa)</v>
      </c>
      <c r="B50" s="151">
        <f t="shared" si="41"/>
        <v>3.3984200000000002</v>
      </c>
      <c r="C50" s="151">
        <f t="shared" si="41"/>
        <v>3.6419700000000002</v>
      </c>
      <c r="D50" s="151">
        <f t="shared" si="41"/>
        <v>2.69529</v>
      </c>
      <c r="E50" s="151">
        <f t="shared" si="41"/>
        <v>2.7204999999999999</v>
      </c>
      <c r="F50" s="151">
        <f t="shared" si="41"/>
        <v>21.504159999999999</v>
      </c>
      <c r="G50" s="151">
        <f t="shared" si="41"/>
        <v>8.9832915070664381</v>
      </c>
      <c r="H50" s="152">
        <f t="shared" si="41"/>
        <v>417.74668283097031</v>
      </c>
      <c r="I50" s="151">
        <f t="shared" si="41"/>
        <v>0.12651040542853104</v>
      </c>
      <c r="K50" s="117" t="str">
        <f t="shared" ref="K50:K57" si="42">U129</f>
        <v>Qatar</v>
      </c>
      <c r="L50" s="116">
        <f t="shared" ref="L50:P57" si="43">+V129</f>
        <v>13.863390000000001</v>
      </c>
      <c r="M50" s="116">
        <f t="shared" si="43"/>
        <v>18.77721</v>
      </c>
      <c r="N50" s="116">
        <f t="shared" si="43"/>
        <v>34.698340000000002</v>
      </c>
      <c r="O50" s="116">
        <f t="shared" si="43"/>
        <v>64.458290000000005</v>
      </c>
      <c r="P50" s="115">
        <f t="shared" si="43"/>
        <v>26.131699999999999</v>
      </c>
      <c r="Q50" s="114">
        <f t="shared" ref="Q50:Q57" si="44">AB129</f>
        <v>102.50185258805757</v>
      </c>
      <c r="R50" s="113">
        <f t="shared" si="32"/>
        <v>3922.5099242704291</v>
      </c>
      <c r="S50" s="112">
        <f t="shared" si="33"/>
        <v>2.4666703658774596</v>
      </c>
      <c r="T50" s="111"/>
      <c r="U50" s="110" t="s">
        <v>399</v>
      </c>
      <c r="V50" s="109">
        <v>5.0540000000000002E-2</v>
      </c>
      <c r="W50" s="109">
        <v>6.6119999999999998E-2</v>
      </c>
      <c r="X50" s="109">
        <v>0.10482</v>
      </c>
      <c r="Y50" s="109">
        <v>0.30269000000000001</v>
      </c>
      <c r="Z50" s="108">
        <v>0.16156000000000001</v>
      </c>
      <c r="AA50" s="108">
        <v>0.67118999999999995</v>
      </c>
      <c r="AB50" s="100">
        <f t="shared" si="11"/>
        <v>0.4509751337177253</v>
      </c>
      <c r="AC50" s="110" t="s">
        <v>399</v>
      </c>
      <c r="AD50" s="108">
        <v>0.30269000000000001</v>
      </c>
      <c r="AE50" s="101" t="str">
        <f t="shared" si="12"/>
        <v/>
      </c>
      <c r="AF50" s="110" t="s">
        <v>399</v>
      </c>
      <c r="AG50" s="108">
        <v>5.0310000000000001E-2</v>
      </c>
      <c r="AH50" s="101" t="str">
        <f t="shared" si="13"/>
        <v/>
      </c>
    </row>
    <row r="51" spans="1:34" x14ac:dyDescent="0.35">
      <c r="A51" s="149" t="str">
        <f t="shared" si="41"/>
        <v>Egypt</v>
      </c>
      <c r="B51" s="151">
        <f t="shared" si="41"/>
        <v>40.915469999999999</v>
      </c>
      <c r="C51" s="151">
        <f t="shared" si="41"/>
        <v>92.633330000000001</v>
      </c>
      <c r="D51" s="151">
        <f t="shared" si="41"/>
        <v>119.97284999999999</v>
      </c>
      <c r="E51" s="151">
        <f t="shared" si="41"/>
        <v>201.66730000000001</v>
      </c>
      <c r="F51" s="151">
        <f t="shared" si="41"/>
        <v>0.66822999999999999</v>
      </c>
      <c r="G51" s="151">
        <f t="shared" si="41"/>
        <v>128.7366821788562</v>
      </c>
      <c r="H51" s="152">
        <f t="shared" si="41"/>
        <v>192653.25139376591</v>
      </c>
      <c r="I51" s="151">
        <f t="shared" si="41"/>
        <v>301.79324484084822</v>
      </c>
      <c r="K51" s="117" t="str">
        <f t="shared" si="42"/>
        <v>Saudi Arabia</v>
      </c>
      <c r="L51" s="116">
        <f t="shared" si="43"/>
        <v>176.92239000000001</v>
      </c>
      <c r="M51" s="116">
        <f t="shared" si="43"/>
        <v>208.02435</v>
      </c>
      <c r="N51" s="116">
        <f t="shared" si="43"/>
        <v>290.53937999999999</v>
      </c>
      <c r="O51" s="116">
        <f t="shared" si="43"/>
        <v>513.52677000000006</v>
      </c>
      <c r="P51" s="115">
        <f t="shared" si="43"/>
        <v>22.517749999999999</v>
      </c>
      <c r="Q51" s="114">
        <f t="shared" si="44"/>
        <v>385.61745888713676</v>
      </c>
      <c r="R51" s="113">
        <f t="shared" si="32"/>
        <v>17125.043971406412</v>
      </c>
      <c r="S51" s="112">
        <f t="shared" si="33"/>
        <v>22.805421056721922</v>
      </c>
      <c r="T51" s="111"/>
      <c r="U51" s="110" t="s">
        <v>543</v>
      </c>
      <c r="V51" s="109">
        <v>0.11181000000000001</v>
      </c>
      <c r="W51" s="109">
        <v>0.16753000000000001</v>
      </c>
      <c r="X51" s="109">
        <v>0.33248</v>
      </c>
      <c r="Y51" s="109">
        <v>0.4249</v>
      </c>
      <c r="Z51" s="108">
        <v>0.10387</v>
      </c>
      <c r="AA51" s="108">
        <v>0.47477999999999998</v>
      </c>
      <c r="AB51" s="100">
        <f t="shared" si="11"/>
        <v>0.89494081469312103</v>
      </c>
      <c r="AC51" s="110" t="s">
        <v>543</v>
      </c>
      <c r="AD51" s="108">
        <v>0.4249</v>
      </c>
      <c r="AE51" s="101" t="str">
        <f t="shared" si="12"/>
        <v/>
      </c>
      <c r="AF51" s="110" t="s">
        <v>543</v>
      </c>
      <c r="AG51" s="108">
        <v>0.16156000000000001</v>
      </c>
      <c r="AH51" s="101" t="str">
        <f t="shared" si="13"/>
        <v/>
      </c>
    </row>
    <row r="52" spans="1:34" x14ac:dyDescent="0.35">
      <c r="A52" s="149" t="str">
        <f t="shared" si="41"/>
        <v>Ethiopia</v>
      </c>
      <c r="B52" s="151">
        <f t="shared" si="41"/>
        <v>1.70001</v>
      </c>
      <c r="C52" s="151">
        <f t="shared" si="41"/>
        <v>3.0112000000000001</v>
      </c>
      <c r="D52" s="151">
        <f t="shared" si="41"/>
        <v>3.4579499999999999</v>
      </c>
      <c r="E52" s="151">
        <f t="shared" si="41"/>
        <v>6.7027700000000001</v>
      </c>
      <c r="F52" s="151">
        <f t="shared" si="41"/>
        <v>1.57667</v>
      </c>
      <c r="G52" s="151">
        <f t="shared" si="41"/>
        <v>20.261691000876638</v>
      </c>
      <c r="H52" s="152">
        <f t="shared" si="41"/>
        <v>12850.939639161421</v>
      </c>
      <c r="I52" s="151">
        <f t="shared" si="41"/>
        <v>4.2512193420309892</v>
      </c>
      <c r="K52" s="117" t="str">
        <f t="shared" si="42"/>
        <v>Syria</v>
      </c>
      <c r="L52" s="116">
        <f t="shared" si="43"/>
        <v>16.430240000000001</v>
      </c>
      <c r="M52" s="116">
        <f t="shared" si="43"/>
        <v>36.9253</v>
      </c>
      <c r="N52" s="116">
        <f t="shared" si="43"/>
        <v>50.99418</v>
      </c>
      <c r="O52" s="116">
        <f t="shared" si="43"/>
        <v>63.142049999999998</v>
      </c>
      <c r="P52" s="115">
        <f t="shared" si="43"/>
        <v>5.1486599999999996</v>
      </c>
      <c r="Q52" s="114">
        <f t="shared" si="44"/>
        <v>35.725549105475778</v>
      </c>
      <c r="R52" s="113">
        <f t="shared" si="32"/>
        <v>6938.8052630151888</v>
      </c>
      <c r="S52" s="112">
        <f t="shared" si="33"/>
        <v>12.263783197958304</v>
      </c>
      <c r="T52" s="111"/>
      <c r="U52" s="110" t="s">
        <v>573</v>
      </c>
      <c r="V52" s="109">
        <v>3.7929999999999998E-2</v>
      </c>
      <c r="W52" s="109">
        <v>7.8119999999999995E-2</v>
      </c>
      <c r="X52" s="109">
        <v>0.16682</v>
      </c>
      <c r="Y52" s="109">
        <v>0.19889000000000001</v>
      </c>
      <c r="Z52" s="108">
        <v>0.55315999999999999</v>
      </c>
      <c r="AA52" s="108">
        <v>0.63405</v>
      </c>
      <c r="AB52" s="100">
        <f t="shared" si="11"/>
        <v>0.31368188628657045</v>
      </c>
      <c r="AC52" s="110" t="s">
        <v>573</v>
      </c>
      <c r="AD52" s="108">
        <v>0.19889000000000001</v>
      </c>
      <c r="AE52" s="101" t="str">
        <f t="shared" si="12"/>
        <v/>
      </c>
      <c r="AF52" s="110" t="s">
        <v>573</v>
      </c>
      <c r="AG52" s="108">
        <v>0.10387</v>
      </c>
      <c r="AH52" s="101" t="str">
        <f t="shared" si="13"/>
        <v/>
      </c>
    </row>
    <row r="53" spans="1:34" x14ac:dyDescent="0.35">
      <c r="A53" s="149" t="str">
        <f t="shared" ref="A53:I55" si="45">+K64</f>
        <v>Kenya</v>
      </c>
      <c r="B53" s="151">
        <f t="shared" si="45"/>
        <v>5.7513800000000002</v>
      </c>
      <c r="C53" s="151">
        <f t="shared" si="45"/>
        <v>6.6622899999999996</v>
      </c>
      <c r="D53" s="151">
        <f t="shared" si="45"/>
        <v>8.6994699999999998</v>
      </c>
      <c r="E53" s="151">
        <f t="shared" si="45"/>
        <v>12.62416</v>
      </c>
      <c r="F53" s="151">
        <f t="shared" si="45"/>
        <v>1.92489</v>
      </c>
      <c r="G53" s="151">
        <f t="shared" si="45"/>
        <v>24.541047024746796</v>
      </c>
      <c r="H53" s="152">
        <f t="shared" si="45"/>
        <v>12749.324389833599</v>
      </c>
      <c r="I53" s="151">
        <f t="shared" si="45"/>
        <v>6.5583799593743022</v>
      </c>
      <c r="K53" s="117" t="str">
        <f t="shared" si="42"/>
        <v>United Arab Emirates</v>
      </c>
      <c r="L53" s="116">
        <f t="shared" si="43"/>
        <v>30.311689999999999</v>
      </c>
      <c r="M53" s="116">
        <f t="shared" si="43"/>
        <v>79.080479999999994</v>
      </c>
      <c r="N53" s="116">
        <f t="shared" si="43"/>
        <v>115.72235000000001</v>
      </c>
      <c r="O53" s="116">
        <f t="shared" si="43"/>
        <v>245.37672000000001</v>
      </c>
      <c r="P53" s="115">
        <f t="shared" si="43"/>
        <v>24.133489999999998</v>
      </c>
      <c r="Q53" s="114">
        <f t="shared" si="44"/>
        <v>217.09566740690275</v>
      </c>
      <c r="R53" s="113">
        <f t="shared" si="32"/>
        <v>8995.6184292824109</v>
      </c>
      <c r="S53" s="112">
        <f t="shared" si="33"/>
        <v>10.167477642065032</v>
      </c>
      <c r="T53" s="111"/>
      <c r="U53" s="110" t="s">
        <v>326</v>
      </c>
      <c r="V53" s="109">
        <v>2.0918700000000001</v>
      </c>
      <c r="W53" s="109">
        <v>1.5068999999999999</v>
      </c>
      <c r="X53" s="109">
        <v>1.6093599999999999</v>
      </c>
      <c r="Y53" s="109">
        <v>2.3346900000000002</v>
      </c>
      <c r="Z53" s="108">
        <v>1.2275100000000001</v>
      </c>
      <c r="AA53" s="108">
        <v>1.3618600000000001</v>
      </c>
      <c r="AB53" s="100">
        <f t="shared" si="11"/>
        <v>1.7143392125475454</v>
      </c>
      <c r="AC53" s="110" t="s">
        <v>326</v>
      </c>
      <c r="AD53" s="108">
        <v>2.3346900000000002</v>
      </c>
      <c r="AE53" s="101" t="str">
        <f t="shared" si="12"/>
        <v/>
      </c>
      <c r="AF53" s="110" t="s">
        <v>326</v>
      </c>
      <c r="AG53" s="108">
        <v>0.55315999999999999</v>
      </c>
      <c r="AH53" s="101" t="str">
        <f t="shared" si="13"/>
        <v/>
      </c>
    </row>
    <row r="54" spans="1:34" x14ac:dyDescent="0.35">
      <c r="A54" s="149" t="str">
        <f t="shared" si="45"/>
        <v>Libya</v>
      </c>
      <c r="B54" s="151">
        <f t="shared" si="45"/>
        <v>32.442970000000003</v>
      </c>
      <c r="C54" s="151">
        <f t="shared" si="45"/>
        <v>42.407620000000001</v>
      </c>
      <c r="D54" s="151">
        <f t="shared" si="45"/>
        <v>41.890599999999999</v>
      </c>
      <c r="E54" s="151">
        <f t="shared" si="45"/>
        <v>49.669260000000001</v>
      </c>
      <c r="F54" s="151">
        <f t="shared" si="45"/>
        <v>21.420950000000001</v>
      </c>
      <c r="G54" s="151">
        <f t="shared" si="45"/>
        <v>44.948336244264866</v>
      </c>
      <c r="H54" s="152">
        <f t="shared" si="45"/>
        <v>2098.3353326656784</v>
      </c>
      <c r="I54" s="151">
        <f t="shared" si="45"/>
        <v>2.3187234926555544</v>
      </c>
      <c r="K54" s="117" t="str">
        <f t="shared" si="42"/>
        <v>Yemen</v>
      </c>
      <c r="L54" s="116">
        <f t="shared" si="43"/>
        <v>6.4342199999999998</v>
      </c>
      <c r="M54" s="116">
        <f t="shared" si="43"/>
        <v>11.441700000000001</v>
      </c>
      <c r="N54" s="116">
        <f t="shared" si="43"/>
        <v>13.17836</v>
      </c>
      <c r="O54" s="116">
        <f t="shared" si="43"/>
        <v>23.748529999999999</v>
      </c>
      <c r="P54" s="115">
        <f t="shared" si="43"/>
        <v>1049.4785899999999</v>
      </c>
      <c r="Q54" s="114">
        <f t="shared" si="44"/>
        <v>21.926037742817044</v>
      </c>
      <c r="R54" s="113">
        <f t="shared" si="32"/>
        <v>20.892315433340137</v>
      </c>
      <c r="S54" s="112">
        <f t="shared" si="33"/>
        <v>2.262888469215937E-2</v>
      </c>
      <c r="T54" s="111"/>
      <c r="U54" s="110" t="s">
        <v>154</v>
      </c>
      <c r="V54" s="109">
        <v>10.558109999999999</v>
      </c>
      <c r="W54" s="109">
        <v>18.18525</v>
      </c>
      <c r="X54" s="109">
        <v>27.510619999999999</v>
      </c>
      <c r="Y54" s="109">
        <v>52.068570000000001</v>
      </c>
      <c r="Z54" s="108">
        <v>4.4819999999999999E-2</v>
      </c>
      <c r="AA54" s="108">
        <v>2.52128</v>
      </c>
      <c r="AB54" s="100">
        <f t="shared" si="11"/>
        <v>20.651641229851506</v>
      </c>
      <c r="AC54" s="110" t="s">
        <v>154</v>
      </c>
      <c r="AD54" s="108">
        <v>52.068570000000001</v>
      </c>
      <c r="AE54" s="101" t="str">
        <f t="shared" si="12"/>
        <v/>
      </c>
      <c r="AF54" s="110" t="s">
        <v>154</v>
      </c>
      <c r="AG54" s="108">
        <v>1.2275100000000001</v>
      </c>
      <c r="AH54" s="101" t="str">
        <f t="shared" si="13"/>
        <v/>
      </c>
    </row>
    <row r="55" spans="1:34" x14ac:dyDescent="0.35">
      <c r="A55" s="149" t="str">
        <f t="shared" si="45"/>
        <v>Madagascar</v>
      </c>
      <c r="B55" s="151">
        <f t="shared" si="45"/>
        <v>1.1684000000000001</v>
      </c>
      <c r="C55" s="151">
        <f t="shared" si="45"/>
        <v>0.95828999999999998</v>
      </c>
      <c r="D55" s="151">
        <f t="shared" si="45"/>
        <v>1.8107899999999999</v>
      </c>
      <c r="E55" s="151">
        <f t="shared" si="45"/>
        <v>1.84277</v>
      </c>
      <c r="F55" s="151">
        <f t="shared" si="45"/>
        <v>15.879250000000001</v>
      </c>
      <c r="G55" s="151">
        <f t="shared" si="45"/>
        <v>3.0369155721089665</v>
      </c>
      <c r="H55" s="152">
        <f t="shared" si="45"/>
        <v>191.25056738252539</v>
      </c>
      <c r="I55" s="151">
        <f t="shared" si="45"/>
        <v>0.11604893178204261</v>
      </c>
      <c r="K55" s="117" t="str">
        <f t="shared" si="42"/>
        <v>Africa</v>
      </c>
      <c r="L55" s="135">
        <f t="shared" si="43"/>
        <v>537.12487999999996</v>
      </c>
      <c r="M55" s="135">
        <f t="shared" si="43"/>
        <v>725.69794999999999</v>
      </c>
      <c r="N55" s="135">
        <f t="shared" si="43"/>
        <v>887.24913000000004</v>
      </c>
      <c r="O55" s="135">
        <f t="shared" si="43"/>
        <v>1152.22118</v>
      </c>
      <c r="P55" s="136">
        <f t="shared" si="43"/>
        <v>36.654290000000003</v>
      </c>
      <c r="Q55" s="137">
        <f t="shared" si="44"/>
        <v>1263.7745604510108</v>
      </c>
      <c r="R55" s="138">
        <f t="shared" si="32"/>
        <v>34478.216886782167</v>
      </c>
      <c r="S55" s="139">
        <f t="shared" si="33"/>
        <v>31.434824682185901</v>
      </c>
      <c r="T55" s="111"/>
      <c r="U55" s="110" t="s">
        <v>574</v>
      </c>
      <c r="V55" s="109" t="s">
        <v>590</v>
      </c>
      <c r="W55" s="109" t="s">
        <v>590</v>
      </c>
      <c r="X55" s="109" t="s">
        <v>590</v>
      </c>
      <c r="Y55" s="109">
        <v>0.15553</v>
      </c>
      <c r="Z55" s="108">
        <v>3.3085399999999998</v>
      </c>
      <c r="AA55" s="108" t="s">
        <v>590</v>
      </c>
      <c r="AB55" s="100" t="e">
        <f t="shared" si="11"/>
        <v>#VALUE!</v>
      </c>
      <c r="AC55" s="110" t="s">
        <v>574</v>
      </c>
      <c r="AD55" s="108">
        <v>0.15553</v>
      </c>
      <c r="AE55" s="101" t="str">
        <f t="shared" si="12"/>
        <v/>
      </c>
      <c r="AF55" s="110" t="s">
        <v>574</v>
      </c>
      <c r="AG55" s="108">
        <v>4.4819999999999999E-2</v>
      </c>
      <c r="AH55" s="101" t="str">
        <f t="shared" si="13"/>
        <v/>
      </c>
    </row>
    <row r="56" spans="1:34" x14ac:dyDescent="0.35">
      <c r="A56" s="149" t="str">
        <f t="shared" ref="A56:I58" si="46">+K69</f>
        <v>Morocco</v>
      </c>
      <c r="B56" s="151">
        <f t="shared" si="46"/>
        <v>16.431550000000001</v>
      </c>
      <c r="C56" s="151">
        <f t="shared" si="46"/>
        <v>22.634499999999999</v>
      </c>
      <c r="D56" s="151">
        <f t="shared" si="46"/>
        <v>31.198519999999998</v>
      </c>
      <c r="E56" s="151">
        <f t="shared" si="46"/>
        <v>43.710900000000002</v>
      </c>
      <c r="F56" s="151">
        <f t="shared" si="46"/>
        <v>22.94886</v>
      </c>
      <c r="G56" s="151">
        <f t="shared" si="46"/>
        <v>92.733579429735244</v>
      </c>
      <c r="H56" s="152">
        <f t="shared" si="46"/>
        <v>4040.8795656836655</v>
      </c>
      <c r="I56" s="151">
        <f t="shared" si="46"/>
        <v>1.9047089920806526</v>
      </c>
      <c r="K56" s="117" t="str">
        <f t="shared" si="42"/>
        <v>Algeria</v>
      </c>
      <c r="L56" s="116">
        <f t="shared" si="43"/>
        <v>66.978700000000003</v>
      </c>
      <c r="M56" s="116">
        <f t="shared" si="43"/>
        <v>83.119100000000003</v>
      </c>
      <c r="N56" s="116">
        <f t="shared" si="43"/>
        <v>83.62997</v>
      </c>
      <c r="O56" s="116">
        <f t="shared" si="43"/>
        <v>117.24099</v>
      </c>
      <c r="P56" s="115">
        <f t="shared" si="43"/>
        <v>17.544730000000001</v>
      </c>
      <c r="Q56" s="114">
        <f t="shared" si="44"/>
        <v>127.69680433930205</v>
      </c>
      <c r="R56" s="113">
        <f t="shared" ref="R56:R82" si="47">Q56/P56*1000</f>
        <v>7278.3567680609531</v>
      </c>
      <c r="S56" s="112">
        <f t="shared" ref="S56:S82" si="48">O56/P56</f>
        <v>6.6824049158921222</v>
      </c>
      <c r="T56" s="111"/>
      <c r="U56" s="110" t="s">
        <v>158</v>
      </c>
      <c r="V56" s="109">
        <v>5.7605300000000002</v>
      </c>
      <c r="W56" s="109">
        <v>4.49892</v>
      </c>
      <c r="X56" s="109">
        <v>6.5191400000000002</v>
      </c>
      <c r="Y56" s="109">
        <v>8.3260900000000007</v>
      </c>
      <c r="Z56" s="108">
        <v>27.635739999999998</v>
      </c>
      <c r="AA56" s="108">
        <v>0.30957000000000001</v>
      </c>
      <c r="AB56" s="100">
        <f t="shared" si="11"/>
        <v>26.895661724327294</v>
      </c>
      <c r="AC56" s="110" t="s">
        <v>158</v>
      </c>
      <c r="AD56" s="108">
        <v>8.3260900000000007</v>
      </c>
      <c r="AE56" s="101" t="str">
        <f t="shared" si="12"/>
        <v/>
      </c>
      <c r="AF56" s="110" t="s">
        <v>158</v>
      </c>
      <c r="AG56" s="108">
        <v>3.3085399999999998</v>
      </c>
      <c r="AH56" s="101" t="str">
        <f t="shared" si="13"/>
        <v/>
      </c>
    </row>
    <row r="57" spans="1:34" x14ac:dyDescent="0.35">
      <c r="A57" s="149" t="str">
        <f t="shared" si="46"/>
        <v>Mozambique</v>
      </c>
      <c r="B57" s="151">
        <f t="shared" si="46"/>
        <v>2.6213099999999998</v>
      </c>
      <c r="C57" s="151">
        <f t="shared" si="46"/>
        <v>1.18784</v>
      </c>
      <c r="D57" s="151">
        <f t="shared" si="46"/>
        <v>1.2908999999999999</v>
      </c>
      <c r="E57" s="151">
        <f t="shared" si="46"/>
        <v>3.4260000000000002</v>
      </c>
      <c r="F57" s="151">
        <f t="shared" si="46"/>
        <v>2.1475900000000001</v>
      </c>
      <c r="G57" s="151">
        <f t="shared" si="46"/>
        <v>11.675299890948747</v>
      </c>
      <c r="H57" s="152">
        <f t="shared" si="46"/>
        <v>5436.4659413336558</v>
      </c>
      <c r="I57" s="151">
        <f t="shared" si="46"/>
        <v>1.5952765658249479</v>
      </c>
      <c r="K57" s="117" t="str">
        <f t="shared" si="42"/>
        <v>Angola</v>
      </c>
      <c r="L57" s="116">
        <f t="shared" si="43"/>
        <v>3.3891200000000001</v>
      </c>
      <c r="M57" s="116">
        <f t="shared" si="43"/>
        <v>7.1684799999999997</v>
      </c>
      <c r="N57" s="116">
        <f t="shared" si="43"/>
        <v>13.03284</v>
      </c>
      <c r="O57" s="116">
        <f t="shared" si="43"/>
        <v>26.973330000000001</v>
      </c>
      <c r="P57" s="115">
        <f t="shared" si="43"/>
        <v>9.3250299999999999</v>
      </c>
      <c r="Q57" s="114">
        <f t="shared" si="44"/>
        <v>59.192279839364481</v>
      </c>
      <c r="R57" s="113">
        <f t="shared" si="47"/>
        <v>6347.6771484235951</v>
      </c>
      <c r="S57" s="112">
        <f t="shared" si="48"/>
        <v>2.8925729997651484</v>
      </c>
      <c r="T57" s="111"/>
      <c r="U57" s="110" t="s">
        <v>116</v>
      </c>
      <c r="V57" s="109">
        <v>94.265270000000001</v>
      </c>
      <c r="W57" s="109">
        <v>109.72732000000001</v>
      </c>
      <c r="X57" s="109">
        <v>134.44861</v>
      </c>
      <c r="Y57" s="109">
        <v>182.66088999999999</v>
      </c>
      <c r="Z57" s="108">
        <v>0.10578</v>
      </c>
      <c r="AA57" s="108">
        <v>0.92603999999999997</v>
      </c>
      <c r="AB57" s="100">
        <f t="shared" si="11"/>
        <v>197.24946006651982</v>
      </c>
      <c r="AC57" s="110" t="s">
        <v>116</v>
      </c>
      <c r="AD57" s="108">
        <v>182.66088999999999</v>
      </c>
      <c r="AE57" s="101" t="str">
        <f t="shared" si="12"/>
        <v/>
      </c>
      <c r="AF57" s="110" t="s">
        <v>116</v>
      </c>
      <c r="AG57" s="108">
        <v>27.635739999999998</v>
      </c>
      <c r="AH57" s="101" t="str">
        <f t="shared" si="13"/>
        <v/>
      </c>
    </row>
    <row r="58" spans="1:34" x14ac:dyDescent="0.35">
      <c r="A58" s="149" t="str">
        <f t="shared" si="46"/>
        <v>Nigeria</v>
      </c>
      <c r="B58" s="151">
        <f t="shared" si="46"/>
        <v>69.138459999999995</v>
      </c>
      <c r="C58" s="151">
        <f t="shared" si="46"/>
        <v>82.480419999999995</v>
      </c>
      <c r="D58" s="151">
        <f t="shared" si="46"/>
        <v>80.752359999999996</v>
      </c>
      <c r="E58" s="151">
        <f t="shared" si="46"/>
        <v>75.963390000000004</v>
      </c>
      <c r="F58" s="151">
        <f t="shared" si="46"/>
        <v>0.83950000000000002</v>
      </c>
      <c r="G58" s="151">
        <f t="shared" si="46"/>
        <v>144.67839253404438</v>
      </c>
      <c r="H58" s="152">
        <f t="shared" si="46"/>
        <v>172338.76418587775</v>
      </c>
      <c r="I58" s="151">
        <f t="shared" si="46"/>
        <v>90.486468135795121</v>
      </c>
      <c r="K58" s="117" t="str">
        <f>U141</f>
        <v>Cameroon</v>
      </c>
      <c r="L58" s="116">
        <f>+V141</f>
        <v>2.2294499999999999</v>
      </c>
      <c r="M58" s="116">
        <f>+W141</f>
        <v>3.4298299999999999</v>
      </c>
      <c r="N58" s="116">
        <f>+X141</f>
        <v>6.8329700000000004</v>
      </c>
      <c r="O58" s="116">
        <f>+Y141</f>
        <v>8.1262699999999999</v>
      </c>
      <c r="P58" s="115">
        <f>+Z141</f>
        <v>0.5161</v>
      </c>
      <c r="Q58" s="114">
        <f>AB141</f>
        <v>21.815489932885907</v>
      </c>
      <c r="R58" s="113">
        <f t="shared" si="47"/>
        <v>42269.889426246671</v>
      </c>
      <c r="S58" s="112">
        <f t="shared" si="48"/>
        <v>15.745533811276884</v>
      </c>
      <c r="T58" s="111"/>
      <c r="U58" s="110" t="s">
        <v>575</v>
      </c>
      <c r="V58" s="109">
        <v>16.939450000000001</v>
      </c>
      <c r="W58" s="109">
        <v>7.4522000000000004</v>
      </c>
      <c r="X58" s="109">
        <v>9.8361599999999996</v>
      </c>
      <c r="Y58" s="109">
        <v>18.593800000000002</v>
      </c>
      <c r="Z58" s="108">
        <v>3.039E-2</v>
      </c>
      <c r="AA58" s="108">
        <v>2.5924499999999999</v>
      </c>
      <c r="AB58" s="100">
        <f t="shared" si="11"/>
        <v>7.1722887615961746</v>
      </c>
      <c r="AC58" s="110" t="s">
        <v>575</v>
      </c>
      <c r="AD58" s="108">
        <v>18.593800000000002</v>
      </c>
      <c r="AE58" s="101" t="str">
        <f t="shared" si="12"/>
        <v/>
      </c>
      <c r="AF58" s="110" t="s">
        <v>575</v>
      </c>
      <c r="AG58" s="108">
        <v>0.10578</v>
      </c>
      <c r="AH58" s="101" t="str">
        <f t="shared" si="13"/>
        <v/>
      </c>
    </row>
    <row r="59" spans="1:34" x14ac:dyDescent="0.35">
      <c r="A59" s="149" t="str">
        <f t="shared" ref="A59:I59" si="49">+K73</f>
        <v>South Africa</v>
      </c>
      <c r="B59" s="151">
        <f t="shared" si="49"/>
        <v>235.02573000000001</v>
      </c>
      <c r="C59" s="151">
        <f t="shared" si="49"/>
        <v>297.97674999999998</v>
      </c>
      <c r="D59" s="151">
        <f t="shared" si="49"/>
        <v>386.01434</v>
      </c>
      <c r="E59" s="151">
        <f t="shared" si="49"/>
        <v>461.56502999999998</v>
      </c>
      <c r="F59" s="151">
        <f t="shared" si="49"/>
        <v>43.697450000000003</v>
      </c>
      <c r="G59" s="151">
        <f t="shared" si="49"/>
        <v>285.97408318411908</v>
      </c>
      <c r="H59" s="152">
        <f t="shared" si="49"/>
        <v>6544.4112456017237</v>
      </c>
      <c r="I59" s="151">
        <f t="shared" si="49"/>
        <v>10.562745194513637</v>
      </c>
      <c r="K59" s="117" t="str">
        <f>U147</f>
        <v>Congo (Kinshasa)</v>
      </c>
      <c r="L59" s="116">
        <f>+V147</f>
        <v>3.3984200000000002</v>
      </c>
      <c r="M59" s="116">
        <f>+W147</f>
        <v>3.6419700000000002</v>
      </c>
      <c r="N59" s="116">
        <f>+X147</f>
        <v>2.69529</v>
      </c>
      <c r="O59" s="116">
        <f>+Y147</f>
        <v>2.7204999999999999</v>
      </c>
      <c r="P59" s="115">
        <f>+Z147</f>
        <v>21.504159999999999</v>
      </c>
      <c r="Q59" s="114">
        <f>AB147</f>
        <v>8.9832915070664381</v>
      </c>
      <c r="R59" s="113">
        <f t="shared" si="47"/>
        <v>417.74668283097031</v>
      </c>
      <c r="S59" s="112">
        <f t="shared" si="48"/>
        <v>0.12651040542853104</v>
      </c>
      <c r="T59" s="111"/>
      <c r="U59" s="110" t="s">
        <v>576</v>
      </c>
      <c r="V59" s="109">
        <v>2.2169999999999999E-2</v>
      </c>
      <c r="W59" s="109">
        <v>5.0389999999999997E-2</v>
      </c>
      <c r="X59" s="109">
        <v>6.0380000000000003E-2</v>
      </c>
      <c r="Y59" s="109">
        <v>0.14718999999999999</v>
      </c>
      <c r="Z59" s="108">
        <v>608.85225000000003</v>
      </c>
      <c r="AA59" s="108" t="s">
        <v>590</v>
      </c>
      <c r="AB59" s="100" t="e">
        <f t="shared" si="11"/>
        <v>#VALUE!</v>
      </c>
      <c r="AC59" s="110" t="s">
        <v>576</v>
      </c>
      <c r="AD59" s="108">
        <v>0.14718999999999999</v>
      </c>
      <c r="AE59" s="101" t="str">
        <f t="shared" si="12"/>
        <v/>
      </c>
      <c r="AF59" s="110" t="s">
        <v>576</v>
      </c>
      <c r="AG59" s="108">
        <v>3.039E-2</v>
      </c>
      <c r="AH59" s="101" t="str">
        <f t="shared" si="13"/>
        <v/>
      </c>
    </row>
    <row r="60" spans="1:34" x14ac:dyDescent="0.35">
      <c r="A60" s="149" t="str">
        <f t="shared" ref="A60:I64" si="50">+K79</f>
        <v>Asia &amp; Oceania</v>
      </c>
      <c r="B60" s="153">
        <f t="shared" si="50"/>
        <v>3541.4692399999999</v>
      </c>
      <c r="C60" s="153">
        <f t="shared" si="50"/>
        <v>5262.8836700000002</v>
      </c>
      <c r="D60" s="153">
        <f t="shared" si="50"/>
        <v>7227.1673000000001</v>
      </c>
      <c r="E60" s="153">
        <f t="shared" si="50"/>
        <v>14684.386839999999</v>
      </c>
      <c r="F60" s="153">
        <f t="shared" si="50"/>
        <v>29.757570000000001</v>
      </c>
      <c r="G60" s="153">
        <f t="shared" si="50"/>
        <v>14309.478503215747</v>
      </c>
      <c r="H60" s="154">
        <f t="shared" si="50"/>
        <v>480868.51524555753</v>
      </c>
      <c r="I60" s="153">
        <f t="shared" si="50"/>
        <v>493.46727034499116</v>
      </c>
      <c r="K60" s="117" t="str">
        <f>U150</f>
        <v>Egypt</v>
      </c>
      <c r="L60" s="116">
        <f>+V150</f>
        <v>40.915469999999999</v>
      </c>
      <c r="M60" s="116">
        <f>+W150</f>
        <v>92.633330000000001</v>
      </c>
      <c r="N60" s="116">
        <f>+X150</f>
        <v>119.97284999999999</v>
      </c>
      <c r="O60" s="116">
        <f>+Y150</f>
        <v>201.66730000000001</v>
      </c>
      <c r="P60" s="115">
        <f>+Z150</f>
        <v>0.66822999999999999</v>
      </c>
      <c r="Q60" s="114">
        <f>AB150</f>
        <v>128.7366821788562</v>
      </c>
      <c r="R60" s="113">
        <f t="shared" si="47"/>
        <v>192653.25139376591</v>
      </c>
      <c r="S60" s="112">
        <f t="shared" si="48"/>
        <v>301.79324484084822</v>
      </c>
      <c r="T60" s="111"/>
      <c r="U60" s="110" t="s">
        <v>544</v>
      </c>
      <c r="V60" s="109">
        <v>4680.3337199999996</v>
      </c>
      <c r="W60" s="109">
        <v>4545.5550999999996</v>
      </c>
      <c r="X60" s="109">
        <v>4457.7802899999997</v>
      </c>
      <c r="Y60" s="109">
        <v>4305.1695</v>
      </c>
      <c r="Z60" s="108">
        <v>2.9946700000000002</v>
      </c>
      <c r="AA60" s="108">
        <v>0.27822999999999998</v>
      </c>
      <c r="AB60" s="100">
        <f t="shared" si="11"/>
        <v>15473.419473097798</v>
      </c>
      <c r="AC60" s="110" t="s">
        <v>544</v>
      </c>
      <c r="AD60" s="108">
        <v>4305.1695</v>
      </c>
      <c r="AE60" s="101" t="str">
        <f t="shared" si="12"/>
        <v/>
      </c>
      <c r="AF60" s="110" t="s">
        <v>544</v>
      </c>
      <c r="AG60" s="108">
        <v>608.85225000000003</v>
      </c>
      <c r="AH60" s="101" t="str">
        <f t="shared" si="13"/>
        <v/>
      </c>
    </row>
    <row r="61" spans="1:34" x14ac:dyDescent="0.35">
      <c r="A61" s="149" t="str">
        <f t="shared" si="50"/>
        <v>Afghanistan</v>
      </c>
      <c r="B61" s="151">
        <f t="shared" si="50"/>
        <v>1.3610500000000001</v>
      </c>
      <c r="C61" s="151">
        <f t="shared" si="50"/>
        <v>6.3192899999999996</v>
      </c>
      <c r="D61" s="151">
        <f t="shared" si="50"/>
        <v>1.33551</v>
      </c>
      <c r="E61" s="151">
        <f t="shared" si="50"/>
        <v>6.5891700000000002</v>
      </c>
      <c r="F61" s="151">
        <f t="shared" si="50"/>
        <v>5.5199999999999999E-2</v>
      </c>
      <c r="G61" s="151">
        <f t="shared" si="50"/>
        <v>92.557522123893804</v>
      </c>
      <c r="H61" s="152">
        <f t="shared" si="50"/>
        <v>1676766.7051430037</v>
      </c>
      <c r="I61" s="151">
        <f t="shared" si="50"/>
        <v>119.36902173913045</v>
      </c>
      <c r="K61" s="117" t="str">
        <f>U153</f>
        <v>Ethiopia</v>
      </c>
      <c r="L61" s="116">
        <f>+V153</f>
        <v>1.70001</v>
      </c>
      <c r="M61" s="116">
        <f>+W153</f>
        <v>3.0112000000000001</v>
      </c>
      <c r="N61" s="116">
        <f>+X153</f>
        <v>3.4579499999999999</v>
      </c>
      <c r="O61" s="116">
        <f>+Y153</f>
        <v>6.7027700000000001</v>
      </c>
      <c r="P61" s="115">
        <f>+Z153</f>
        <v>1.57667</v>
      </c>
      <c r="Q61" s="114">
        <f>AB153</f>
        <v>20.261691000876638</v>
      </c>
      <c r="R61" s="113">
        <f t="shared" si="47"/>
        <v>12850.939639161421</v>
      </c>
      <c r="S61" s="112">
        <f t="shared" si="48"/>
        <v>4.2512193420309892</v>
      </c>
      <c r="T61" s="111"/>
      <c r="U61" s="110" t="s">
        <v>196</v>
      </c>
      <c r="V61" s="109">
        <v>8.8585799999999999</v>
      </c>
      <c r="W61" s="109">
        <v>6.0746799999999999</v>
      </c>
      <c r="X61" s="109">
        <v>3.26206</v>
      </c>
      <c r="Y61" s="109">
        <v>4.1827199999999998</v>
      </c>
      <c r="Z61" s="108">
        <v>8.2172800000000006</v>
      </c>
      <c r="AA61" s="108">
        <v>0.45937</v>
      </c>
      <c r="AB61" s="100">
        <f t="shared" si="11"/>
        <v>9.1053399220671789</v>
      </c>
      <c r="AC61" s="110" t="s">
        <v>196</v>
      </c>
      <c r="AD61" s="108">
        <v>4.1827199999999998</v>
      </c>
      <c r="AE61" s="101" t="str">
        <f t="shared" si="12"/>
        <v/>
      </c>
      <c r="AF61" s="110" t="s">
        <v>196</v>
      </c>
      <c r="AG61" s="108">
        <v>2.9946700000000002</v>
      </c>
      <c r="AH61" s="101" t="str">
        <f t="shared" si="13"/>
        <v/>
      </c>
    </row>
    <row r="62" spans="1:34" x14ac:dyDescent="0.35">
      <c r="A62" s="149" t="str">
        <f t="shared" si="50"/>
        <v>Australia</v>
      </c>
      <c r="B62" s="151">
        <f t="shared" si="50"/>
        <v>198.83496</v>
      </c>
      <c r="C62" s="151">
        <f t="shared" si="50"/>
        <v>267.60124000000002</v>
      </c>
      <c r="D62" s="151">
        <f t="shared" si="50"/>
        <v>356.31114000000002</v>
      </c>
      <c r="E62" s="151">
        <f t="shared" si="50"/>
        <v>392.28604999999999</v>
      </c>
      <c r="F62" s="151">
        <f t="shared" si="50"/>
        <v>158.57053999999999</v>
      </c>
      <c r="G62" s="151">
        <f t="shared" si="50"/>
        <v>815.59742608840281</v>
      </c>
      <c r="H62" s="152">
        <f t="shared" si="50"/>
        <v>5143.4360133250657</v>
      </c>
      <c r="I62" s="151">
        <f t="shared" si="50"/>
        <v>2.4738898536890899</v>
      </c>
      <c r="K62" s="117" t="str">
        <f>U156</f>
        <v>Ghana</v>
      </c>
      <c r="L62" s="116">
        <f t="shared" ref="L62:P63" si="51">+V156</f>
        <v>2.2309000000000001</v>
      </c>
      <c r="M62" s="116">
        <f t="shared" si="51"/>
        <v>3.0294500000000002</v>
      </c>
      <c r="N62" s="116">
        <f t="shared" si="51"/>
        <v>5.3187100000000003</v>
      </c>
      <c r="O62" s="116">
        <f t="shared" si="51"/>
        <v>9.0053900000000002</v>
      </c>
      <c r="P62" s="115">
        <f t="shared" si="51"/>
        <v>10.60101</v>
      </c>
      <c r="Q62" s="114">
        <f>AB156</f>
        <v>11.825546275869314</v>
      </c>
      <c r="R62" s="113">
        <f t="shared" si="47"/>
        <v>1115.5112839125059</v>
      </c>
      <c r="S62" s="112">
        <f t="shared" si="48"/>
        <v>0.84948415292505142</v>
      </c>
      <c r="T62" s="111"/>
      <c r="U62" s="110" t="s">
        <v>206</v>
      </c>
      <c r="V62" s="109">
        <v>55.84111</v>
      </c>
      <c r="W62" s="109">
        <v>55.708039999999997</v>
      </c>
      <c r="X62" s="109">
        <v>64.729299999999995</v>
      </c>
      <c r="Y62" s="109">
        <v>67.182180000000002</v>
      </c>
      <c r="Z62" s="108">
        <v>10.431480000000001</v>
      </c>
      <c r="AA62" s="108">
        <v>0.21440000000000001</v>
      </c>
      <c r="AB62" s="100">
        <f t="shared" si="11"/>
        <v>313.34972014925376</v>
      </c>
      <c r="AC62" s="110" t="s">
        <v>206</v>
      </c>
      <c r="AD62" s="108">
        <v>67.182180000000002</v>
      </c>
      <c r="AE62" s="101" t="str">
        <f t="shared" si="12"/>
        <v/>
      </c>
      <c r="AF62" s="110" t="s">
        <v>206</v>
      </c>
      <c r="AG62" s="108">
        <v>8.2172800000000006</v>
      </c>
      <c r="AH62" s="101" t="str">
        <f t="shared" si="13"/>
        <v/>
      </c>
    </row>
    <row r="63" spans="1:34" x14ac:dyDescent="0.35">
      <c r="A63" s="149" t="str">
        <f t="shared" si="50"/>
        <v>Bangladesh</v>
      </c>
      <c r="B63" s="151">
        <f t="shared" si="50"/>
        <v>7.6372600000000004</v>
      </c>
      <c r="C63" s="151">
        <f t="shared" si="50"/>
        <v>14.925560000000001</v>
      </c>
      <c r="D63" s="151">
        <f t="shared" si="50"/>
        <v>29.359089999999998</v>
      </c>
      <c r="E63" s="151">
        <f t="shared" si="50"/>
        <v>58.80612</v>
      </c>
      <c r="F63" s="151">
        <f t="shared" si="50"/>
        <v>0.70843</v>
      </c>
      <c r="G63" s="151">
        <f t="shared" si="50"/>
        <v>80.538676454475734</v>
      </c>
      <c r="H63" s="152">
        <f t="shared" si="50"/>
        <v>113686.14606167968</v>
      </c>
      <c r="I63" s="151">
        <f t="shared" si="50"/>
        <v>83.009076408396027</v>
      </c>
      <c r="K63" s="117" t="str">
        <f>U157</f>
        <v>Guinea</v>
      </c>
      <c r="L63" s="116">
        <f t="shared" si="51"/>
        <v>0.81493000000000004</v>
      </c>
      <c r="M63" s="116">
        <f t="shared" si="51"/>
        <v>1.4842</v>
      </c>
      <c r="N63" s="116">
        <f t="shared" si="51"/>
        <v>1.30423</v>
      </c>
      <c r="O63" s="116">
        <f t="shared" si="51"/>
        <v>1.4194199999999999</v>
      </c>
      <c r="P63" s="115">
        <f t="shared" si="51"/>
        <v>1.5966800000000001</v>
      </c>
      <c r="Q63" s="114">
        <f>AB157</f>
        <v>3.6927519642020914</v>
      </c>
      <c r="R63" s="113">
        <f t="shared" si="47"/>
        <v>2312.768973245792</v>
      </c>
      <c r="S63" s="112">
        <f t="shared" si="48"/>
        <v>0.8889821379362175</v>
      </c>
      <c r="T63" s="111"/>
      <c r="U63" s="110" t="s">
        <v>117</v>
      </c>
      <c r="V63" s="109">
        <v>135.69422</v>
      </c>
      <c r="W63" s="109">
        <v>125.2719</v>
      </c>
      <c r="X63" s="109">
        <v>148.10292999999999</v>
      </c>
      <c r="Y63" s="109">
        <v>131.06315000000001</v>
      </c>
      <c r="Z63" s="108">
        <v>3.8823599999999998</v>
      </c>
      <c r="AA63" s="108">
        <v>0.31947999999999999</v>
      </c>
      <c r="AB63" s="100">
        <f t="shared" si="11"/>
        <v>410.2389820959059</v>
      </c>
      <c r="AC63" s="110" t="s">
        <v>117</v>
      </c>
      <c r="AD63" s="108">
        <v>131.06315000000001</v>
      </c>
      <c r="AE63" s="101" t="str">
        <f t="shared" si="12"/>
        <v/>
      </c>
      <c r="AF63" s="110" t="s">
        <v>117</v>
      </c>
      <c r="AG63" s="108">
        <v>10.431480000000001</v>
      </c>
      <c r="AH63" s="101" t="str">
        <f t="shared" si="13"/>
        <v/>
      </c>
    </row>
    <row r="64" spans="1:34" ht="30.5" x14ac:dyDescent="0.35">
      <c r="A64" s="149" t="str">
        <f t="shared" si="50"/>
        <v>Burma (Myanmar)</v>
      </c>
      <c r="B64" s="151">
        <f t="shared" si="50"/>
        <v>4.0127600000000001</v>
      </c>
      <c r="C64" s="151">
        <f t="shared" si="50"/>
        <v>4.6603500000000002</v>
      </c>
      <c r="D64" s="151">
        <f t="shared" si="50"/>
        <v>9.0074400000000008</v>
      </c>
      <c r="E64" s="151">
        <f t="shared" si="50"/>
        <v>13.666600000000001</v>
      </c>
      <c r="F64" s="151">
        <f t="shared" si="50"/>
        <v>14.70172</v>
      </c>
      <c r="G64" s="151">
        <f t="shared" si="50"/>
        <v>18.49837574445046</v>
      </c>
      <c r="H64" s="152">
        <f t="shared" si="50"/>
        <v>1258.245684481167</v>
      </c>
      <c r="I64" s="151">
        <f t="shared" si="50"/>
        <v>0.92959191169468613</v>
      </c>
      <c r="K64" s="117" t="str">
        <f>U159</f>
        <v>Kenya</v>
      </c>
      <c r="L64" s="116">
        <f>+V159</f>
        <v>5.7513800000000002</v>
      </c>
      <c r="M64" s="116">
        <f>+W159</f>
        <v>6.6622899999999996</v>
      </c>
      <c r="N64" s="116">
        <f>+X159</f>
        <v>8.6994699999999998</v>
      </c>
      <c r="O64" s="116">
        <f>+Y159</f>
        <v>12.62416</v>
      </c>
      <c r="P64" s="115">
        <f>+Z159</f>
        <v>1.92489</v>
      </c>
      <c r="Q64" s="114">
        <f>AB159</f>
        <v>24.541047024746796</v>
      </c>
      <c r="R64" s="113">
        <f t="shared" si="47"/>
        <v>12749.324389833599</v>
      </c>
      <c r="S64" s="112">
        <f t="shared" si="48"/>
        <v>6.5583799593743022</v>
      </c>
      <c r="T64" s="111"/>
      <c r="U64" s="110" t="s">
        <v>217</v>
      </c>
      <c r="V64" s="109" t="s">
        <v>545</v>
      </c>
      <c r="W64" s="109" t="s">
        <v>545</v>
      </c>
      <c r="X64" s="109">
        <v>15.12668</v>
      </c>
      <c r="Y64" s="109">
        <v>22.1952</v>
      </c>
      <c r="Z64" s="108">
        <v>7.0936399999999997</v>
      </c>
      <c r="AA64" s="108">
        <v>1.36476</v>
      </c>
      <c r="AB64" s="100">
        <f t="shared" si="11"/>
        <v>16.263079222720478</v>
      </c>
      <c r="AC64" s="110" t="s">
        <v>217</v>
      </c>
      <c r="AD64" s="108">
        <v>22.1952</v>
      </c>
      <c r="AE64" s="101" t="str">
        <f t="shared" si="12"/>
        <v/>
      </c>
      <c r="AF64" s="110" t="s">
        <v>217</v>
      </c>
      <c r="AG64" s="108">
        <v>3.8823599999999998</v>
      </c>
      <c r="AH64" s="101" t="str">
        <f t="shared" si="13"/>
        <v/>
      </c>
    </row>
    <row r="65" spans="1:34" x14ac:dyDescent="0.35">
      <c r="A65" s="149" t="str">
        <f t="shared" ref="A65:I65" si="52">+K85</f>
        <v>China</v>
      </c>
      <c r="B65" s="151">
        <f t="shared" si="52"/>
        <v>1448.46396</v>
      </c>
      <c r="C65" s="151">
        <f t="shared" si="52"/>
        <v>2269.7094099999999</v>
      </c>
      <c r="D65" s="151">
        <f t="shared" si="52"/>
        <v>2849.7495100000001</v>
      </c>
      <c r="E65" s="151">
        <f t="shared" si="52"/>
        <v>8715.3072400000001</v>
      </c>
      <c r="F65" s="151">
        <f t="shared" si="52"/>
        <v>1.112E-2</v>
      </c>
      <c r="G65" s="151">
        <f t="shared" si="52"/>
        <v>4007.0193884166051</v>
      </c>
      <c r="H65" s="152">
        <f t="shared" si="52"/>
        <v>360343470.1813494</v>
      </c>
      <c r="I65" s="151">
        <f t="shared" si="52"/>
        <v>783750.65107913676</v>
      </c>
      <c r="K65" s="117" t="str">
        <f>U162</f>
        <v>Libya</v>
      </c>
      <c r="L65" s="116">
        <f t="shared" ref="L65:P68" si="53">+V162</f>
        <v>32.442970000000003</v>
      </c>
      <c r="M65" s="116">
        <f t="shared" si="53"/>
        <v>42.407620000000001</v>
      </c>
      <c r="N65" s="116">
        <f t="shared" si="53"/>
        <v>41.890599999999999</v>
      </c>
      <c r="O65" s="116">
        <f t="shared" si="53"/>
        <v>49.669260000000001</v>
      </c>
      <c r="P65" s="115">
        <f t="shared" si="53"/>
        <v>21.420950000000001</v>
      </c>
      <c r="Q65" s="114">
        <f>AB162</f>
        <v>44.948336244264866</v>
      </c>
      <c r="R65" s="113">
        <f t="shared" si="47"/>
        <v>2098.3353326656784</v>
      </c>
      <c r="S65" s="112">
        <f t="shared" si="48"/>
        <v>2.3187234926555544</v>
      </c>
      <c r="T65" s="111"/>
      <c r="U65" s="110" t="s">
        <v>220</v>
      </c>
      <c r="V65" s="109">
        <v>88.556070000000005</v>
      </c>
      <c r="W65" s="109">
        <v>76.188429999999997</v>
      </c>
      <c r="X65" s="109">
        <v>49.025709999999997</v>
      </c>
      <c r="Y65" s="109">
        <v>52.444459999999999</v>
      </c>
      <c r="Z65" s="108">
        <v>4.4837999999999996</v>
      </c>
      <c r="AA65" s="108">
        <v>1.35036</v>
      </c>
      <c r="AB65" s="100">
        <f t="shared" si="11"/>
        <v>38.83739151041204</v>
      </c>
      <c r="AC65" s="110" t="s">
        <v>220</v>
      </c>
      <c r="AD65" s="108">
        <v>52.444459999999999</v>
      </c>
      <c r="AE65" s="101" t="str">
        <f t="shared" si="12"/>
        <v/>
      </c>
      <c r="AF65" s="110" t="s">
        <v>220</v>
      </c>
      <c r="AG65" s="108">
        <v>7.0936399999999997</v>
      </c>
      <c r="AH65" s="101" t="str">
        <f t="shared" si="13"/>
        <v/>
      </c>
    </row>
    <row r="66" spans="1:34" x14ac:dyDescent="0.35">
      <c r="A66" s="149" t="str">
        <f t="shared" ref="A66:I71" si="54">+K87</f>
        <v>India</v>
      </c>
      <c r="B66" s="151">
        <f t="shared" si="54"/>
        <v>291.22527000000002</v>
      </c>
      <c r="C66" s="151">
        <f t="shared" si="54"/>
        <v>578.61869000000002</v>
      </c>
      <c r="D66" s="151">
        <f t="shared" si="54"/>
        <v>1002.95375</v>
      </c>
      <c r="E66" s="151">
        <f t="shared" si="54"/>
        <v>1725.7617600000001</v>
      </c>
      <c r="F66" s="151">
        <f t="shared" si="54"/>
        <v>246.06515999999999</v>
      </c>
      <c r="G66" s="151">
        <f t="shared" si="54"/>
        <v>1249.6193131213661</v>
      </c>
      <c r="H66" s="152">
        <f t="shared" si="54"/>
        <v>5078.4081465306435</v>
      </c>
      <c r="I66" s="151">
        <f t="shared" si="54"/>
        <v>7.0134340026032138</v>
      </c>
      <c r="K66" s="117" t="str">
        <f>U163</f>
        <v>Madagascar</v>
      </c>
      <c r="L66" s="116">
        <f t="shared" si="53"/>
        <v>1.1684000000000001</v>
      </c>
      <c r="M66" s="116">
        <f t="shared" si="53"/>
        <v>0.95828999999999998</v>
      </c>
      <c r="N66" s="116">
        <f t="shared" si="53"/>
        <v>1.8107899999999999</v>
      </c>
      <c r="O66" s="116">
        <f t="shared" si="53"/>
        <v>1.84277</v>
      </c>
      <c r="P66" s="115">
        <f t="shared" si="53"/>
        <v>15.879250000000001</v>
      </c>
      <c r="Q66" s="114">
        <f>AB163</f>
        <v>3.0369155721089665</v>
      </c>
      <c r="R66" s="113">
        <f t="shared" si="47"/>
        <v>191.25056738252539</v>
      </c>
      <c r="S66" s="112">
        <f t="shared" si="48"/>
        <v>0.11604893178204261</v>
      </c>
      <c r="T66" s="111"/>
      <c r="U66" s="110" t="s">
        <v>235</v>
      </c>
      <c r="V66" s="109" t="s">
        <v>545</v>
      </c>
      <c r="W66" s="109" t="s">
        <v>545</v>
      </c>
      <c r="X66" s="109">
        <v>20.10266</v>
      </c>
      <c r="Y66" s="109">
        <v>22.351019999999998</v>
      </c>
      <c r="Z66" s="108">
        <v>1.12049</v>
      </c>
      <c r="AA66" s="108">
        <v>0.49995000000000001</v>
      </c>
      <c r="AB66" s="100">
        <f t="shared" si="11"/>
        <v>44.706510651065102</v>
      </c>
      <c r="AC66" s="110" t="s">
        <v>235</v>
      </c>
      <c r="AD66" s="108">
        <v>22.351019999999998</v>
      </c>
      <c r="AE66" s="101" t="str">
        <f t="shared" si="12"/>
        <v/>
      </c>
      <c r="AF66" s="110" t="s">
        <v>235</v>
      </c>
      <c r="AG66" s="108">
        <v>4.4837999999999996</v>
      </c>
      <c r="AH66" s="101" t="str">
        <f t="shared" si="13"/>
        <v/>
      </c>
    </row>
    <row r="67" spans="1:34" x14ac:dyDescent="0.35">
      <c r="A67" s="149" t="str">
        <f t="shared" si="54"/>
        <v>Indonesia</v>
      </c>
      <c r="B67" s="151">
        <f t="shared" si="54"/>
        <v>85.798330000000007</v>
      </c>
      <c r="C67" s="151">
        <f t="shared" si="54"/>
        <v>155.97902999999999</v>
      </c>
      <c r="D67" s="151">
        <f t="shared" si="54"/>
        <v>266.25842</v>
      </c>
      <c r="E67" s="151">
        <f t="shared" si="54"/>
        <v>426.78953999999999</v>
      </c>
      <c r="F67" s="151">
        <f t="shared" si="54"/>
        <v>127.46953999999999</v>
      </c>
      <c r="G67" s="151">
        <f t="shared" si="54"/>
        <v>413.11941844369801</v>
      </c>
      <c r="H67" s="152">
        <f t="shared" si="54"/>
        <v>3240.9265652303916</v>
      </c>
      <c r="I67" s="151">
        <f t="shared" si="54"/>
        <v>3.3481688252738655</v>
      </c>
      <c r="K67" s="117" t="str">
        <f>U164</f>
        <v>Malawi</v>
      </c>
      <c r="L67" s="116">
        <f t="shared" si="53"/>
        <v>0.57584999999999997</v>
      </c>
      <c r="M67" s="116">
        <f t="shared" si="53"/>
        <v>0.53464999999999996</v>
      </c>
      <c r="N67" s="116">
        <f t="shared" si="53"/>
        <v>0.93681000000000003</v>
      </c>
      <c r="O67" s="116">
        <f t="shared" si="53"/>
        <v>0.95687</v>
      </c>
      <c r="P67" s="115">
        <f t="shared" si="53"/>
        <v>15.032400000000001</v>
      </c>
      <c r="Q67" s="114">
        <f>AB164</f>
        <v>2.8076347525013938</v>
      </c>
      <c r="R67" s="113">
        <f t="shared" si="47"/>
        <v>186.77222216687912</v>
      </c>
      <c r="S67" s="112">
        <f t="shared" si="48"/>
        <v>6.3653841036694067E-2</v>
      </c>
      <c r="T67" s="111"/>
      <c r="U67" s="110" t="s">
        <v>236</v>
      </c>
      <c r="V67" s="109">
        <v>2.8293400000000002</v>
      </c>
      <c r="W67" s="109">
        <v>5.0882300000000003</v>
      </c>
      <c r="X67" s="109">
        <v>7.5315399999999997</v>
      </c>
      <c r="Y67" s="109">
        <v>9.5027600000000003</v>
      </c>
      <c r="Z67" s="108">
        <v>10.19021</v>
      </c>
      <c r="AA67" s="108">
        <v>0.49104999999999999</v>
      </c>
      <c r="AB67" s="100">
        <f t="shared" si="11"/>
        <v>19.351919356481012</v>
      </c>
      <c r="AC67" s="110" t="s">
        <v>236</v>
      </c>
      <c r="AD67" s="108">
        <v>9.5027600000000003</v>
      </c>
      <c r="AE67" s="101" t="str">
        <f t="shared" si="12"/>
        <v/>
      </c>
      <c r="AF67" s="110" t="s">
        <v>236</v>
      </c>
      <c r="AG67" s="108">
        <v>1.12049</v>
      </c>
      <c r="AH67" s="101" t="str">
        <f t="shared" si="13"/>
        <v/>
      </c>
    </row>
    <row r="68" spans="1:34" x14ac:dyDescent="0.35">
      <c r="A68" s="149" t="str">
        <f t="shared" si="54"/>
        <v>Japan</v>
      </c>
      <c r="B68" s="151">
        <f t="shared" si="54"/>
        <v>947.01433999999995</v>
      </c>
      <c r="C68" s="151">
        <f t="shared" si="54"/>
        <v>1046.9829199999999</v>
      </c>
      <c r="D68" s="151">
        <f t="shared" si="54"/>
        <v>1201.4292700000001</v>
      </c>
      <c r="E68" s="151">
        <f t="shared" si="54"/>
        <v>1180.6151299999999</v>
      </c>
      <c r="F68" s="151">
        <f t="shared" si="54"/>
        <v>0.10074</v>
      </c>
      <c r="G68" s="151">
        <f t="shared" si="54"/>
        <v>4662.0404754383189</v>
      </c>
      <c r="H68" s="152">
        <f t="shared" si="54"/>
        <v>46277947.939629927</v>
      </c>
      <c r="I68" s="151">
        <f t="shared" si="54"/>
        <v>11719.427536231884</v>
      </c>
      <c r="K68" s="117" t="str">
        <f>U165</f>
        <v>Mali</v>
      </c>
      <c r="L68" s="116">
        <f t="shared" si="53"/>
        <v>0.41802</v>
      </c>
      <c r="M68" s="116">
        <f t="shared" si="53"/>
        <v>0.46804000000000001</v>
      </c>
      <c r="N68" s="116">
        <f t="shared" si="53"/>
        <v>0.56677</v>
      </c>
      <c r="O68" s="116">
        <f t="shared" si="53"/>
        <v>0.74231000000000003</v>
      </c>
      <c r="P68" s="115">
        <f t="shared" si="53"/>
        <v>3.2816299999999998</v>
      </c>
      <c r="Q68" s="114">
        <f>AB165</f>
        <v>5.706565190651907</v>
      </c>
      <c r="R68" s="113">
        <f t="shared" si="47"/>
        <v>1738.9422910723961</v>
      </c>
      <c r="S68" s="112">
        <f t="shared" si="48"/>
        <v>0.22620161322269727</v>
      </c>
      <c r="T68" s="111"/>
      <c r="U68" s="110" t="s">
        <v>186</v>
      </c>
      <c r="V68" s="109" t="s">
        <v>545</v>
      </c>
      <c r="W68" s="109" t="s">
        <v>545</v>
      </c>
      <c r="X68" s="109">
        <v>94.595309999999998</v>
      </c>
      <c r="Y68" s="109">
        <v>92.396609999999995</v>
      </c>
      <c r="Z68" s="108">
        <v>5.52989</v>
      </c>
      <c r="AA68" s="108">
        <v>0.64004000000000005</v>
      </c>
      <c r="AB68" s="100">
        <f t="shared" si="11"/>
        <v>144.36068058246357</v>
      </c>
      <c r="AC68" s="110" t="s">
        <v>186</v>
      </c>
      <c r="AD68" s="108">
        <v>92.396609999999995</v>
      </c>
      <c r="AE68" s="101" t="str">
        <f t="shared" si="12"/>
        <v/>
      </c>
      <c r="AF68" s="110" t="s">
        <v>186</v>
      </c>
      <c r="AG68" s="108">
        <v>10.19021</v>
      </c>
      <c r="AH68" s="101" t="str">
        <f t="shared" si="13"/>
        <v/>
      </c>
    </row>
    <row r="69" spans="1:34" x14ac:dyDescent="0.35">
      <c r="A69" s="149" t="str">
        <f t="shared" si="54"/>
        <v>Korea, North</v>
      </c>
      <c r="B69" s="151">
        <f t="shared" si="54"/>
        <v>110.5128</v>
      </c>
      <c r="C69" s="151">
        <f t="shared" si="54"/>
        <v>124.17545</v>
      </c>
      <c r="D69" s="151">
        <f t="shared" si="54"/>
        <v>69.403930000000003</v>
      </c>
      <c r="E69" s="151">
        <f t="shared" si="54"/>
        <v>65.960260000000005</v>
      </c>
      <c r="F69" s="151">
        <f t="shared" si="54"/>
        <v>48.754660000000001</v>
      </c>
      <c r="G69" s="151">
        <f t="shared" si="54"/>
        <v>27.643659711075447</v>
      </c>
      <c r="H69" s="152">
        <f t="shared" si="54"/>
        <v>566.99523104202638</v>
      </c>
      <c r="I69" s="151">
        <f t="shared" si="54"/>
        <v>1.3529016508370688</v>
      </c>
      <c r="K69" s="117" t="str">
        <f>U168</f>
        <v>Morocco</v>
      </c>
      <c r="L69" s="116">
        <f t="shared" ref="L69:P70" si="55">+V168</f>
        <v>16.431550000000001</v>
      </c>
      <c r="M69" s="116">
        <f t="shared" si="55"/>
        <v>22.634499999999999</v>
      </c>
      <c r="N69" s="116">
        <f t="shared" si="55"/>
        <v>31.198519999999998</v>
      </c>
      <c r="O69" s="116">
        <f t="shared" si="55"/>
        <v>43.710900000000002</v>
      </c>
      <c r="P69" s="115">
        <f t="shared" si="55"/>
        <v>22.94886</v>
      </c>
      <c r="Q69" s="114">
        <f>AB168</f>
        <v>92.733579429735244</v>
      </c>
      <c r="R69" s="113">
        <f t="shared" si="47"/>
        <v>4040.8795656836655</v>
      </c>
      <c r="S69" s="112">
        <f t="shared" si="48"/>
        <v>1.9047089920806526</v>
      </c>
      <c r="T69" s="111"/>
      <c r="U69" s="110" t="s">
        <v>237</v>
      </c>
      <c r="V69" s="109">
        <v>64.966989999999996</v>
      </c>
      <c r="W69" s="109">
        <v>57.107239999999997</v>
      </c>
      <c r="X69" s="109">
        <v>54.497630000000001</v>
      </c>
      <c r="Y69" s="109">
        <v>46.664760000000001</v>
      </c>
      <c r="Z69" s="108">
        <v>4.9270000000000001E-2</v>
      </c>
      <c r="AA69" s="108">
        <v>0.17573</v>
      </c>
      <c r="AB69" s="100">
        <f t="shared" si="11"/>
        <v>265.54805667785809</v>
      </c>
      <c r="AC69" s="110" t="s">
        <v>237</v>
      </c>
      <c r="AD69" s="108">
        <v>46.664760000000001</v>
      </c>
      <c r="AE69" s="101" t="str">
        <f t="shared" si="12"/>
        <v/>
      </c>
      <c r="AF69" s="110" t="s">
        <v>237</v>
      </c>
      <c r="AG69" s="108">
        <v>5.52989</v>
      </c>
      <c r="AH69" s="101" t="str">
        <f t="shared" si="13"/>
        <v/>
      </c>
    </row>
    <row r="70" spans="1:34" x14ac:dyDescent="0.35">
      <c r="A70" s="149" t="str">
        <f t="shared" si="54"/>
        <v>Korea, South</v>
      </c>
      <c r="B70" s="151">
        <f t="shared" si="54"/>
        <v>131.73553000000001</v>
      </c>
      <c r="C70" s="151">
        <f t="shared" si="54"/>
        <v>242.13184000000001</v>
      </c>
      <c r="D70" s="151">
        <f t="shared" si="54"/>
        <v>438.82654000000002</v>
      </c>
      <c r="E70" s="151">
        <f t="shared" si="54"/>
        <v>610.9538</v>
      </c>
      <c r="F70" s="151">
        <f t="shared" si="54"/>
        <v>6.4772100000000004</v>
      </c>
      <c r="G70" s="151">
        <f t="shared" si="54"/>
        <v>1071.9428020001756</v>
      </c>
      <c r="H70" s="152">
        <f t="shared" si="54"/>
        <v>165494.52650140654</v>
      </c>
      <c r="I70" s="151">
        <f t="shared" si="54"/>
        <v>94.323605379476646</v>
      </c>
      <c r="K70" s="117" t="str">
        <f>U169</f>
        <v>Mozambique</v>
      </c>
      <c r="L70" s="116">
        <f t="shared" si="55"/>
        <v>2.6213099999999998</v>
      </c>
      <c r="M70" s="116">
        <f t="shared" si="55"/>
        <v>1.18784</v>
      </c>
      <c r="N70" s="116">
        <f t="shared" si="55"/>
        <v>1.2908999999999999</v>
      </c>
      <c r="O70" s="116">
        <f t="shared" si="55"/>
        <v>3.4260000000000002</v>
      </c>
      <c r="P70" s="115">
        <f t="shared" si="55"/>
        <v>2.1475900000000001</v>
      </c>
      <c r="Q70" s="114">
        <f>AB169</f>
        <v>11.675299890948747</v>
      </c>
      <c r="R70" s="113">
        <f t="shared" si="47"/>
        <v>5436.4659413336558</v>
      </c>
      <c r="S70" s="112">
        <f t="shared" si="48"/>
        <v>1.5952765658249479</v>
      </c>
      <c r="T70" s="111"/>
      <c r="U70" s="110" t="s">
        <v>577</v>
      </c>
      <c r="V70" s="109" t="s">
        <v>590</v>
      </c>
      <c r="W70" s="109" t="s">
        <v>590</v>
      </c>
      <c r="X70" s="109">
        <v>0.67383999999999999</v>
      </c>
      <c r="Y70" s="109">
        <v>0.78525999999999996</v>
      </c>
      <c r="Z70" s="108">
        <v>5.2592499999999998</v>
      </c>
      <c r="AA70" s="108" t="s">
        <v>590</v>
      </c>
      <c r="AB70" s="100" t="e">
        <f t="shared" si="11"/>
        <v>#VALUE!</v>
      </c>
      <c r="AC70" s="110" t="s">
        <v>577</v>
      </c>
      <c r="AD70" s="108">
        <v>0.78525999999999996</v>
      </c>
      <c r="AE70" s="101" t="str">
        <f t="shared" si="12"/>
        <v/>
      </c>
      <c r="AF70" s="110" t="s">
        <v>577</v>
      </c>
      <c r="AG70" s="108">
        <v>4.9270000000000001E-2</v>
      </c>
      <c r="AH70" s="101" t="str">
        <f t="shared" si="13"/>
        <v/>
      </c>
    </row>
    <row r="71" spans="1:34" x14ac:dyDescent="0.35">
      <c r="A71" s="149" t="str">
        <f t="shared" si="54"/>
        <v>Malaysia</v>
      </c>
      <c r="B71" s="151">
        <f t="shared" si="54"/>
        <v>26.330259999999999</v>
      </c>
      <c r="C71" s="151">
        <f t="shared" si="54"/>
        <v>64.980509999999995</v>
      </c>
      <c r="D71" s="151">
        <f t="shared" si="54"/>
        <v>117.46957</v>
      </c>
      <c r="E71" s="151">
        <f t="shared" si="54"/>
        <v>191.44414</v>
      </c>
      <c r="F71" s="151">
        <f t="shared" si="54"/>
        <v>0.39500000000000002</v>
      </c>
      <c r="G71" s="151">
        <f t="shared" si="54"/>
        <v>179.8931977711166</v>
      </c>
      <c r="H71" s="152">
        <f t="shared" si="54"/>
        <v>455425.8171420673</v>
      </c>
      <c r="I71" s="151">
        <f t="shared" si="54"/>
        <v>484.66870886075947</v>
      </c>
      <c r="K71" s="117" t="str">
        <f>U172</f>
        <v>Nigeria</v>
      </c>
      <c r="L71" s="116">
        <f>+V172</f>
        <v>69.138459999999995</v>
      </c>
      <c r="M71" s="116">
        <f>+W172</f>
        <v>82.480419999999995</v>
      </c>
      <c r="N71" s="116">
        <f>+X172</f>
        <v>80.752359999999996</v>
      </c>
      <c r="O71" s="116">
        <f>+Y172</f>
        <v>75.963390000000004</v>
      </c>
      <c r="P71" s="115">
        <f>+Z172</f>
        <v>0.83950000000000002</v>
      </c>
      <c r="Q71" s="114">
        <f>AB172</f>
        <v>144.67839253404438</v>
      </c>
      <c r="R71" s="113">
        <f t="shared" si="47"/>
        <v>172338.76418587775</v>
      </c>
      <c r="S71" s="112">
        <f t="shared" si="48"/>
        <v>90.486468135795121</v>
      </c>
      <c r="T71" s="111"/>
      <c r="U71" s="110" t="s">
        <v>248</v>
      </c>
      <c r="V71" s="109">
        <v>55.340319999999998</v>
      </c>
      <c r="W71" s="109">
        <v>53.229770000000002</v>
      </c>
      <c r="X71" s="109">
        <v>50.122230000000002</v>
      </c>
      <c r="Y71" s="109">
        <v>54.055959999999999</v>
      </c>
      <c r="Z71" s="108" t="s">
        <v>545</v>
      </c>
      <c r="AA71" s="108">
        <v>0.26422000000000001</v>
      </c>
      <c r="AB71" s="100">
        <f t="shared" ref="AB71:AB134" si="56">Y71/AA71</f>
        <v>204.58693512981606</v>
      </c>
      <c r="AC71" s="110" t="s">
        <v>248</v>
      </c>
      <c r="AD71" s="108">
        <v>54.055959999999999</v>
      </c>
      <c r="AE71" s="101" t="str">
        <f t="shared" si="12"/>
        <v/>
      </c>
      <c r="AF71" s="110" t="s">
        <v>248</v>
      </c>
      <c r="AG71" s="108">
        <v>5.2592499999999998</v>
      </c>
      <c r="AH71" s="101" t="str">
        <f t="shared" si="13"/>
        <v/>
      </c>
    </row>
    <row r="72" spans="1:34" x14ac:dyDescent="0.35">
      <c r="A72" s="149" t="str">
        <f t="shared" ref="A72:I75" si="57">+K95</f>
        <v>Pakistan</v>
      </c>
      <c r="B72" s="151">
        <f t="shared" si="57"/>
        <v>33.67436</v>
      </c>
      <c r="C72" s="151">
        <f t="shared" si="57"/>
        <v>66.983680000000007</v>
      </c>
      <c r="D72" s="151">
        <f t="shared" si="57"/>
        <v>108.99674</v>
      </c>
      <c r="E72" s="151">
        <f t="shared" si="57"/>
        <v>139.66443000000001</v>
      </c>
      <c r="F72" s="151">
        <f t="shared" si="57"/>
        <v>6.1875900000000001</v>
      </c>
      <c r="G72" s="151">
        <f t="shared" si="57"/>
        <v>124.71263249069105</v>
      </c>
      <c r="H72" s="152">
        <f t="shared" si="57"/>
        <v>20155.283800428122</v>
      </c>
      <c r="I72" s="151">
        <f t="shared" si="57"/>
        <v>22.571700775261451</v>
      </c>
      <c r="K72" s="117" t="str">
        <f>U174</f>
        <v>Rwanda</v>
      </c>
      <c r="L72" s="116">
        <f>+V174</f>
        <v>0.15246999999999999</v>
      </c>
      <c r="M72" s="116">
        <f>+W174</f>
        <v>0.70279000000000003</v>
      </c>
      <c r="N72" s="116">
        <f>+X174</f>
        <v>0.76622999999999997</v>
      </c>
      <c r="O72" s="116">
        <f>+Y174</f>
        <v>0.86512999999999995</v>
      </c>
      <c r="P72" s="115">
        <f>+Z174</f>
        <v>7.7000000000000002E-3</v>
      </c>
      <c r="Q72" s="114">
        <f>AB174</f>
        <v>3.3415604480494396</v>
      </c>
      <c r="R72" s="113">
        <f t="shared" si="47"/>
        <v>433968.88935707003</v>
      </c>
      <c r="S72" s="112">
        <f t="shared" si="48"/>
        <v>112.35454545454544</v>
      </c>
      <c r="T72" s="111"/>
      <c r="U72" s="110" t="s">
        <v>350</v>
      </c>
      <c r="V72" s="109">
        <v>208.62083999999999</v>
      </c>
      <c r="W72" s="109">
        <v>196.38009</v>
      </c>
      <c r="X72" s="109" t="s">
        <v>545</v>
      </c>
      <c r="Y72" s="109" t="s">
        <v>545</v>
      </c>
      <c r="Z72" s="108" t="s">
        <v>545</v>
      </c>
      <c r="AA72" s="108" t="s">
        <v>545</v>
      </c>
      <c r="AB72" s="100" t="e">
        <f t="shared" si="56"/>
        <v>#VALUE!</v>
      </c>
      <c r="AC72" s="110" t="s">
        <v>350</v>
      </c>
      <c r="AD72" s="108" t="s">
        <v>545</v>
      </c>
      <c r="AE72" s="101" t="str">
        <f t="shared" ref="AE72:AE135" si="58">IF(AC72=U72,"","no")</f>
        <v/>
      </c>
      <c r="AF72" s="110" t="s">
        <v>350</v>
      </c>
      <c r="AG72" s="108" t="s">
        <v>545</v>
      </c>
      <c r="AH72" s="101" t="str">
        <f t="shared" ref="AH72:AH135" si="59">IF(AF72=U72,"","no")</f>
        <v/>
      </c>
    </row>
    <row r="73" spans="1:34" x14ac:dyDescent="0.35">
      <c r="A73" s="149" t="str">
        <f t="shared" si="57"/>
        <v>Philippines</v>
      </c>
      <c r="B73" s="151">
        <f t="shared" si="57"/>
        <v>33.863759999999999</v>
      </c>
      <c r="C73" s="151">
        <f t="shared" si="57"/>
        <v>41.391100000000002</v>
      </c>
      <c r="D73" s="151">
        <f t="shared" si="57"/>
        <v>70.878290000000007</v>
      </c>
      <c r="E73" s="151">
        <f t="shared" si="57"/>
        <v>81.150549999999996</v>
      </c>
      <c r="F73" s="151">
        <f t="shared" si="57"/>
        <v>0.19316</v>
      </c>
      <c r="G73" s="151">
        <f t="shared" si="57"/>
        <v>118.14714789039978</v>
      </c>
      <c r="H73" s="152">
        <f t="shared" si="57"/>
        <v>611654.31709670625</v>
      </c>
      <c r="I73" s="151">
        <f t="shared" si="57"/>
        <v>420.12088424104365</v>
      </c>
      <c r="K73" s="117" t="str">
        <f>U181</f>
        <v>South Africa</v>
      </c>
      <c r="L73" s="116">
        <f>+V181</f>
        <v>235.02573000000001</v>
      </c>
      <c r="M73" s="116">
        <f>+W181</f>
        <v>297.97674999999998</v>
      </c>
      <c r="N73" s="116">
        <f>+X181</f>
        <v>386.01434</v>
      </c>
      <c r="O73" s="116">
        <f>+Y181</f>
        <v>461.56502999999998</v>
      </c>
      <c r="P73" s="115">
        <f>+Z181</f>
        <v>43.697450000000003</v>
      </c>
      <c r="Q73" s="114">
        <f>AB181</f>
        <v>285.97408318411908</v>
      </c>
      <c r="R73" s="113">
        <f t="shared" si="47"/>
        <v>6544.4112456017237</v>
      </c>
      <c r="S73" s="112">
        <f t="shared" si="48"/>
        <v>10.562745194513637</v>
      </c>
      <c r="T73" s="111"/>
      <c r="U73" s="110" t="s">
        <v>377</v>
      </c>
      <c r="V73" s="109" t="s">
        <v>545</v>
      </c>
      <c r="W73" s="109" t="s">
        <v>545</v>
      </c>
      <c r="X73" s="109">
        <v>43.007730000000002</v>
      </c>
      <c r="Y73" s="109" t="s">
        <v>545</v>
      </c>
      <c r="Z73" s="108" t="s">
        <v>545</v>
      </c>
      <c r="AA73" s="108" t="s">
        <v>545</v>
      </c>
      <c r="AB73" s="100" t="e">
        <f t="shared" si="56"/>
        <v>#VALUE!</v>
      </c>
      <c r="AC73" s="110" t="s">
        <v>377</v>
      </c>
      <c r="AD73" s="108" t="s">
        <v>545</v>
      </c>
      <c r="AE73" s="101" t="str">
        <f t="shared" si="58"/>
        <v/>
      </c>
      <c r="AF73" s="110" t="s">
        <v>377</v>
      </c>
      <c r="AG73" s="108" t="s">
        <v>545</v>
      </c>
      <c r="AH73" s="101" t="str">
        <f t="shared" si="59"/>
        <v/>
      </c>
    </row>
    <row r="74" spans="1:34" x14ac:dyDescent="0.35">
      <c r="A74" s="149" t="str">
        <f t="shared" si="57"/>
        <v>Singapore</v>
      </c>
      <c r="B74" s="151">
        <f t="shared" si="57"/>
        <v>29.413900000000002</v>
      </c>
      <c r="C74" s="151">
        <f t="shared" si="57"/>
        <v>57.732709999999997</v>
      </c>
      <c r="D74" s="151">
        <f t="shared" si="57"/>
        <v>107.64434</v>
      </c>
      <c r="E74" s="151">
        <f t="shared" si="57"/>
        <v>212.39236</v>
      </c>
      <c r="F74" s="151">
        <f t="shared" si="57"/>
        <v>0.57189000000000001</v>
      </c>
      <c r="G74" s="151">
        <f t="shared" si="57"/>
        <v>209.89253985038192</v>
      </c>
      <c r="H74" s="152">
        <f t="shared" si="57"/>
        <v>367015.57965759485</v>
      </c>
      <c r="I74" s="151">
        <f t="shared" si="57"/>
        <v>371.38673521131687</v>
      </c>
      <c r="K74" s="117" t="str">
        <f>U184</f>
        <v>Tanzania</v>
      </c>
      <c r="L74" s="116">
        <f>+V184</f>
        <v>1.91743</v>
      </c>
      <c r="M74" s="116">
        <f>+W184</f>
        <v>2.8064399999999998</v>
      </c>
      <c r="N74" s="116">
        <f>+X184</f>
        <v>2.7248800000000002</v>
      </c>
      <c r="O74" s="116">
        <f>+Y184</f>
        <v>7.2283999999999997</v>
      </c>
      <c r="P74" s="115">
        <f>+Z184</f>
        <v>6.7719899999999997</v>
      </c>
      <c r="Q74" s="114">
        <f>AB184</f>
        <v>16.724277550264919</v>
      </c>
      <c r="R74" s="113">
        <f t="shared" si="47"/>
        <v>2469.6252579027609</v>
      </c>
      <c r="S74" s="112">
        <f t="shared" si="48"/>
        <v>1.0673967327181522</v>
      </c>
      <c r="T74" s="111"/>
      <c r="U74" s="110" t="s">
        <v>546</v>
      </c>
      <c r="V74" s="109">
        <v>105.93277999999999</v>
      </c>
      <c r="W74" s="109">
        <v>149.97745</v>
      </c>
      <c r="X74" s="109" t="s">
        <v>545</v>
      </c>
      <c r="Y74" s="109" t="s">
        <v>545</v>
      </c>
      <c r="Z74" s="108">
        <v>65.296090000000007</v>
      </c>
      <c r="AA74" s="108" t="s">
        <v>545</v>
      </c>
      <c r="AB74" s="100" t="e">
        <f t="shared" si="56"/>
        <v>#VALUE!</v>
      </c>
      <c r="AC74" s="110" t="s">
        <v>546</v>
      </c>
      <c r="AD74" s="108" t="s">
        <v>545</v>
      </c>
      <c r="AE74" s="101" t="str">
        <f t="shared" si="58"/>
        <v/>
      </c>
      <c r="AF74" s="110" t="s">
        <v>546</v>
      </c>
      <c r="AG74" s="108" t="s">
        <v>545</v>
      </c>
      <c r="AH74" s="101" t="str">
        <f t="shared" si="59"/>
        <v/>
      </c>
    </row>
    <row r="75" spans="1:34" x14ac:dyDescent="0.35">
      <c r="A75" s="149" t="str">
        <f t="shared" si="57"/>
        <v>Sri Lanka</v>
      </c>
      <c r="B75" s="151">
        <f t="shared" si="57"/>
        <v>4.8785600000000002</v>
      </c>
      <c r="C75" s="151">
        <f t="shared" si="57"/>
        <v>5.2606799999999998</v>
      </c>
      <c r="D75" s="151">
        <f t="shared" si="57"/>
        <v>11.3287</v>
      </c>
      <c r="E75" s="151">
        <f t="shared" si="57"/>
        <v>13.098050000000001</v>
      </c>
      <c r="F75" s="151">
        <f t="shared" si="57"/>
        <v>23.17427</v>
      </c>
      <c r="G75" s="151">
        <f t="shared" si="57"/>
        <v>30.672435191906892</v>
      </c>
      <c r="H75" s="152">
        <f t="shared" si="57"/>
        <v>1323.5556154263713</v>
      </c>
      <c r="I75" s="151">
        <f t="shared" si="57"/>
        <v>0.56519795445552334</v>
      </c>
      <c r="K75" s="117" t="str">
        <f>U186</f>
        <v>Tunisia</v>
      </c>
      <c r="L75" s="116">
        <f t="shared" ref="L75:P76" si="60">+V186</f>
        <v>8.47987</v>
      </c>
      <c r="M75" s="116">
        <f t="shared" si="60"/>
        <v>13.05306</v>
      </c>
      <c r="N75" s="116">
        <f t="shared" si="60"/>
        <v>19.66527</v>
      </c>
      <c r="O75" s="116">
        <f t="shared" si="60"/>
        <v>20.516210000000001</v>
      </c>
      <c r="P75" s="115">
        <f t="shared" si="60"/>
        <v>32.560220000000001</v>
      </c>
      <c r="Q75" s="114">
        <f>AB186</f>
        <v>44.33636599386265</v>
      </c>
      <c r="R75" s="113">
        <f t="shared" si="47"/>
        <v>1361.672801776605</v>
      </c>
      <c r="S75" s="112">
        <f t="shared" si="48"/>
        <v>0.63010047229410615</v>
      </c>
      <c r="T75" s="111"/>
      <c r="U75" s="110" t="s">
        <v>118</v>
      </c>
      <c r="V75" s="109">
        <v>488.91734000000002</v>
      </c>
      <c r="W75" s="109">
        <v>367.68203999999997</v>
      </c>
      <c r="X75" s="109">
        <v>401.65132999999997</v>
      </c>
      <c r="Y75" s="109">
        <v>374.32733999999999</v>
      </c>
      <c r="Z75" s="108">
        <v>81.471829999999997</v>
      </c>
      <c r="AA75" s="108">
        <v>0.17752999999999999</v>
      </c>
      <c r="AB75" s="100">
        <f t="shared" si="56"/>
        <v>2108.530051258942</v>
      </c>
      <c r="AC75" s="110" t="s">
        <v>118</v>
      </c>
      <c r="AD75" s="108">
        <v>374.32733999999999</v>
      </c>
      <c r="AE75" s="101" t="str">
        <f t="shared" si="58"/>
        <v/>
      </c>
      <c r="AF75" s="110" t="s">
        <v>118</v>
      </c>
      <c r="AG75" s="108">
        <v>65.296090000000007</v>
      </c>
      <c r="AH75" s="101" t="str">
        <f t="shared" si="59"/>
        <v/>
      </c>
    </row>
    <row r="76" spans="1:34" x14ac:dyDescent="0.35">
      <c r="A76" s="149" t="str">
        <f t="shared" ref="A76:I78" si="61">+K100</f>
        <v>Thailand</v>
      </c>
      <c r="B76" s="151">
        <f t="shared" si="61"/>
        <v>33.56324</v>
      </c>
      <c r="C76" s="151">
        <f t="shared" si="61"/>
        <v>83.928479999999993</v>
      </c>
      <c r="D76" s="151">
        <f t="shared" si="61"/>
        <v>161.75206</v>
      </c>
      <c r="E76" s="151">
        <f t="shared" si="61"/>
        <v>269.62279000000001</v>
      </c>
      <c r="F76" s="151">
        <f t="shared" si="61"/>
        <v>1.1154200000000001</v>
      </c>
      <c r="G76" s="151">
        <f t="shared" si="61"/>
        <v>202.78641536112636</v>
      </c>
      <c r="H76" s="152">
        <f t="shared" si="61"/>
        <v>181802.74278847998</v>
      </c>
      <c r="I76" s="151">
        <f t="shared" si="61"/>
        <v>241.72310878413512</v>
      </c>
      <c r="J76" s="127"/>
      <c r="K76" s="117" t="str">
        <f>U187</f>
        <v>Uganda</v>
      </c>
      <c r="L76" s="116">
        <f t="shared" si="60"/>
        <v>0.70226999999999995</v>
      </c>
      <c r="M76" s="116">
        <f t="shared" si="60"/>
        <v>0.84399999999999997</v>
      </c>
      <c r="N76" s="116">
        <f t="shared" si="60"/>
        <v>1.2643</v>
      </c>
      <c r="O76" s="116">
        <f t="shared" si="60"/>
        <v>3.2442500000000001</v>
      </c>
      <c r="P76" s="115">
        <f t="shared" si="60"/>
        <v>0.50716000000000006</v>
      </c>
      <c r="Q76" s="114">
        <f>AB187</f>
        <v>23.895190395521837</v>
      </c>
      <c r="R76" s="113">
        <f t="shared" si="47"/>
        <v>47115.684193394263</v>
      </c>
      <c r="S76" s="112">
        <f t="shared" si="48"/>
        <v>6.3968964429371393</v>
      </c>
      <c r="T76" s="111"/>
      <c r="U76" s="110" t="s">
        <v>592</v>
      </c>
      <c r="V76" s="109" t="s">
        <v>545</v>
      </c>
      <c r="W76" s="109" t="s">
        <v>545</v>
      </c>
      <c r="X76" s="109">
        <v>854.65732000000003</v>
      </c>
      <c r="Y76" s="109">
        <v>748.48560999999995</v>
      </c>
      <c r="Z76" s="108" t="s">
        <v>545</v>
      </c>
      <c r="AA76" s="108">
        <v>0.26965</v>
      </c>
      <c r="AB76" s="100">
        <f t="shared" si="56"/>
        <v>2775.767142592249</v>
      </c>
      <c r="AC76" s="110" t="s">
        <v>119</v>
      </c>
      <c r="AD76" s="108">
        <v>748.48560999999995</v>
      </c>
      <c r="AE76" s="101" t="str">
        <f t="shared" si="58"/>
        <v>no</v>
      </c>
      <c r="AF76" s="110" t="s">
        <v>119</v>
      </c>
      <c r="AG76" s="108">
        <v>81.471829999999997</v>
      </c>
      <c r="AH76" s="101" t="str">
        <f t="shared" si="59"/>
        <v>no</v>
      </c>
    </row>
    <row r="77" spans="1:34" x14ac:dyDescent="0.35">
      <c r="A77" s="149" t="str">
        <f t="shared" si="61"/>
        <v>Vietnam</v>
      </c>
      <c r="B77" s="151">
        <f t="shared" si="61"/>
        <v>13.39865</v>
      </c>
      <c r="C77" s="151">
        <f t="shared" si="61"/>
        <v>16.844239999999999</v>
      </c>
      <c r="D77" s="151">
        <f t="shared" si="61"/>
        <v>46.112920000000003</v>
      </c>
      <c r="E77" s="151">
        <f t="shared" si="61"/>
        <v>112.66128</v>
      </c>
      <c r="F77" s="151" t="str">
        <f t="shared" si="61"/>
        <v>NA</v>
      </c>
      <c r="G77" s="151">
        <f t="shared" si="61"/>
        <v>74.11877553437148</v>
      </c>
      <c r="H77" s="152" t="e">
        <f t="shared" si="61"/>
        <v>#VALUE!</v>
      </c>
      <c r="I77" s="151" t="e">
        <f t="shared" si="61"/>
        <v>#VALUE!</v>
      </c>
      <c r="K77" s="117" t="str">
        <f>U189</f>
        <v>Zambia</v>
      </c>
      <c r="L77" s="116">
        <f t="shared" ref="L77:P80" si="62">+V189</f>
        <v>3.6300400000000002</v>
      </c>
      <c r="M77" s="116">
        <f t="shared" si="62"/>
        <v>2.7254900000000002</v>
      </c>
      <c r="N77" s="116">
        <f t="shared" si="62"/>
        <v>1.8966000000000001</v>
      </c>
      <c r="O77" s="116">
        <f t="shared" si="62"/>
        <v>2.4337300000000002</v>
      </c>
      <c r="P77" s="115">
        <f t="shared" si="62"/>
        <v>12.084300000000001</v>
      </c>
      <c r="Q77" s="114">
        <f>AB189</f>
        <v>9.8807600178636683</v>
      </c>
      <c r="R77" s="113">
        <f t="shared" si="47"/>
        <v>817.65265823123127</v>
      </c>
      <c r="S77" s="112">
        <f t="shared" si="48"/>
        <v>0.20139602624893457</v>
      </c>
      <c r="T77" s="111"/>
      <c r="U77" s="110" t="s">
        <v>120</v>
      </c>
      <c r="V77" s="109">
        <v>296.78964000000002</v>
      </c>
      <c r="W77" s="109">
        <v>292.4939</v>
      </c>
      <c r="X77" s="109" t="s">
        <v>545</v>
      </c>
      <c r="Y77" s="109" t="s">
        <v>545</v>
      </c>
      <c r="Z77" s="108" t="s">
        <v>545</v>
      </c>
      <c r="AA77" s="108" t="s">
        <v>545</v>
      </c>
      <c r="AB77" s="100" t="e">
        <f t="shared" si="56"/>
        <v>#VALUE!</v>
      </c>
      <c r="AC77" s="110" t="s">
        <v>120</v>
      </c>
      <c r="AD77" s="108" t="s">
        <v>545</v>
      </c>
      <c r="AE77" s="101" t="str">
        <f t="shared" si="58"/>
        <v/>
      </c>
      <c r="AF77" s="110" t="s">
        <v>120</v>
      </c>
      <c r="AG77" s="108" t="s">
        <v>545</v>
      </c>
      <c r="AH77" s="101" t="str">
        <f t="shared" si="59"/>
        <v/>
      </c>
    </row>
    <row r="78" spans="1:34" x14ac:dyDescent="0.35">
      <c r="A78" s="149" t="str">
        <f t="shared" si="61"/>
        <v>World</v>
      </c>
      <c r="B78" s="153">
        <f t="shared" si="61"/>
        <v>18434.180420000001</v>
      </c>
      <c r="C78" s="153">
        <f t="shared" si="61"/>
        <v>21615.451679999998</v>
      </c>
      <c r="D78" s="153">
        <f t="shared" si="61"/>
        <v>23738.368040000001</v>
      </c>
      <c r="E78" s="153">
        <f t="shared" si="61"/>
        <v>32578.645059999999</v>
      </c>
      <c r="F78" s="153">
        <f t="shared" si="61"/>
        <v>6853.0194099999999</v>
      </c>
      <c r="G78" s="153">
        <f t="shared" si="61"/>
        <v>52482.71455497382</v>
      </c>
      <c r="H78" s="154">
        <f t="shared" si="61"/>
        <v>7658.3344384506599</v>
      </c>
      <c r="I78" s="153">
        <f t="shared" si="61"/>
        <v>4.7539111026682468</v>
      </c>
      <c r="K78" s="117" t="str">
        <f>U190</f>
        <v>Zimbabwe</v>
      </c>
      <c r="L78" s="116">
        <f t="shared" si="62"/>
        <v>8.9065399999999997</v>
      </c>
      <c r="M78" s="116">
        <f t="shared" si="62"/>
        <v>15.141830000000001</v>
      </c>
      <c r="N78" s="116">
        <f t="shared" si="62"/>
        <v>13.71982</v>
      </c>
      <c r="O78" s="116">
        <f t="shared" si="62"/>
        <v>8.8746299999999998</v>
      </c>
      <c r="P78" s="115">
        <f t="shared" si="62"/>
        <v>3838.9806400000002</v>
      </c>
      <c r="Q78" s="114">
        <f>AB190</f>
        <v>4.3558390309265196</v>
      </c>
      <c r="R78" s="113">
        <f t="shared" si="47"/>
        <v>1.1346342790951192</v>
      </c>
      <c r="S78" s="112">
        <f t="shared" si="48"/>
        <v>2.3117152265711865E-3</v>
      </c>
      <c r="T78" s="111"/>
      <c r="U78" s="110" t="s">
        <v>121</v>
      </c>
      <c r="V78" s="109">
        <v>759.25387000000001</v>
      </c>
      <c r="W78" s="109">
        <v>698.13986999999997</v>
      </c>
      <c r="X78" s="109" t="s">
        <v>545</v>
      </c>
      <c r="Y78" s="109" t="s">
        <v>545</v>
      </c>
      <c r="Z78" s="108">
        <v>2.896E-2</v>
      </c>
      <c r="AA78" s="108" t="s">
        <v>545</v>
      </c>
      <c r="AB78" s="100" t="e">
        <f t="shared" si="56"/>
        <v>#VALUE!</v>
      </c>
      <c r="AC78" s="110" t="s">
        <v>121</v>
      </c>
      <c r="AD78" s="108" t="s">
        <v>545</v>
      </c>
      <c r="AE78" s="101" t="str">
        <f t="shared" si="58"/>
        <v/>
      </c>
      <c r="AF78" s="110" t="s">
        <v>121</v>
      </c>
      <c r="AG78" s="108" t="s">
        <v>545</v>
      </c>
      <c r="AH78" s="101" t="str">
        <f t="shared" si="59"/>
        <v/>
      </c>
    </row>
    <row r="79" spans="1:34" x14ac:dyDescent="0.35">
      <c r="A79" s="141"/>
      <c r="B79" s="142"/>
      <c r="C79" s="142"/>
      <c r="D79" s="142"/>
      <c r="E79" s="142"/>
      <c r="F79" s="142"/>
      <c r="G79" s="142"/>
      <c r="H79" s="142"/>
      <c r="I79" s="142"/>
      <c r="K79" s="117" t="str">
        <f>U191</f>
        <v>Asia &amp; Oceania</v>
      </c>
      <c r="L79" s="135">
        <f t="shared" si="62"/>
        <v>3541.4692399999999</v>
      </c>
      <c r="M79" s="135">
        <f t="shared" si="62"/>
        <v>5262.8836700000002</v>
      </c>
      <c r="N79" s="135">
        <f t="shared" si="62"/>
        <v>7227.1673000000001</v>
      </c>
      <c r="O79" s="135">
        <f t="shared" si="62"/>
        <v>14684.386839999999</v>
      </c>
      <c r="P79" s="136">
        <f t="shared" si="62"/>
        <v>29.757570000000001</v>
      </c>
      <c r="Q79" s="137">
        <f>AB191</f>
        <v>14309.478503215747</v>
      </c>
      <c r="R79" s="138">
        <f t="shared" si="47"/>
        <v>480868.51524555753</v>
      </c>
      <c r="S79" s="139">
        <f t="shared" si="48"/>
        <v>493.46727034499116</v>
      </c>
      <c r="T79" s="111"/>
      <c r="U79" s="110" t="s">
        <v>547</v>
      </c>
      <c r="V79" s="109">
        <v>0.48881000000000002</v>
      </c>
      <c r="W79" s="109">
        <v>1.67143</v>
      </c>
      <c r="X79" s="109">
        <v>7.2959500000000004</v>
      </c>
      <c r="Y79" s="109">
        <v>4.9049300000000002</v>
      </c>
      <c r="Z79" s="108">
        <v>10.76014</v>
      </c>
      <c r="AA79" s="108" t="s">
        <v>590</v>
      </c>
      <c r="AB79" s="100" t="e">
        <f t="shared" si="56"/>
        <v>#VALUE!</v>
      </c>
      <c r="AC79" s="110" t="s">
        <v>547</v>
      </c>
      <c r="AD79" s="108">
        <v>4.9049300000000002</v>
      </c>
      <c r="AE79" s="101" t="str">
        <f t="shared" si="58"/>
        <v/>
      </c>
      <c r="AF79" s="110" t="s">
        <v>547</v>
      </c>
      <c r="AG79" s="108">
        <v>2.896E-2</v>
      </c>
      <c r="AH79" s="101" t="str">
        <f t="shared" si="59"/>
        <v/>
      </c>
    </row>
    <row r="80" spans="1:34" x14ac:dyDescent="0.35">
      <c r="K80" s="117" t="str">
        <f>U192</f>
        <v>Afghanistan</v>
      </c>
      <c r="L80" s="116">
        <f t="shared" si="62"/>
        <v>1.3610500000000001</v>
      </c>
      <c r="M80" s="116">
        <f t="shared" si="62"/>
        <v>6.3192899999999996</v>
      </c>
      <c r="N80" s="116">
        <f t="shared" si="62"/>
        <v>1.33551</v>
      </c>
      <c r="O80" s="116">
        <f t="shared" si="62"/>
        <v>6.5891700000000002</v>
      </c>
      <c r="P80" s="115">
        <f t="shared" si="62"/>
        <v>5.5199999999999999E-2</v>
      </c>
      <c r="Q80" s="114">
        <f>AB192</f>
        <v>92.557522123893804</v>
      </c>
      <c r="R80" s="113">
        <f t="shared" si="47"/>
        <v>1676766.7051430037</v>
      </c>
      <c r="S80" s="112">
        <f t="shared" si="48"/>
        <v>119.36902173913045</v>
      </c>
      <c r="T80" s="111"/>
      <c r="U80" s="110" t="s">
        <v>253</v>
      </c>
      <c r="V80" s="109">
        <v>51.971029999999999</v>
      </c>
      <c r="W80" s="109">
        <v>81.497990000000001</v>
      </c>
      <c r="X80" s="109">
        <v>101.28762999999999</v>
      </c>
      <c r="Y80" s="109">
        <v>91.298330000000007</v>
      </c>
      <c r="Z80" s="108">
        <v>9.9760600000000004</v>
      </c>
      <c r="AA80" s="108">
        <v>0.37003999999999998</v>
      </c>
      <c r="AB80" s="100">
        <f t="shared" si="56"/>
        <v>246.72557020862612</v>
      </c>
      <c r="AC80" s="110" t="s">
        <v>253</v>
      </c>
      <c r="AD80" s="108">
        <v>91.298330000000007</v>
      </c>
      <c r="AE80" s="101" t="str">
        <f t="shared" si="58"/>
        <v/>
      </c>
      <c r="AF80" s="110" t="s">
        <v>253</v>
      </c>
      <c r="AG80" s="108">
        <v>10.76014</v>
      </c>
      <c r="AH80" s="101" t="str">
        <f t="shared" si="59"/>
        <v/>
      </c>
    </row>
    <row r="81" spans="11:34" x14ac:dyDescent="0.35">
      <c r="K81" s="117" t="str">
        <f>U194</f>
        <v>Australia</v>
      </c>
      <c r="L81" s="116">
        <f t="shared" ref="L81:P82" si="63">+V194</f>
        <v>198.83496</v>
      </c>
      <c r="M81" s="116">
        <f t="shared" si="63"/>
        <v>267.60124000000002</v>
      </c>
      <c r="N81" s="116">
        <f t="shared" si="63"/>
        <v>356.31114000000002</v>
      </c>
      <c r="O81" s="116">
        <f t="shared" si="63"/>
        <v>392.28604999999999</v>
      </c>
      <c r="P81" s="115">
        <f t="shared" si="63"/>
        <v>158.57053999999999</v>
      </c>
      <c r="Q81" s="114">
        <f>AB194</f>
        <v>815.59742608840281</v>
      </c>
      <c r="R81" s="113">
        <f t="shared" si="47"/>
        <v>5143.4360133250657</v>
      </c>
      <c r="S81" s="112">
        <f t="shared" si="48"/>
        <v>2.4738898536890899</v>
      </c>
      <c r="T81" s="111"/>
      <c r="U81" s="110" t="s">
        <v>187</v>
      </c>
      <c r="V81" s="109">
        <v>83.747820000000004</v>
      </c>
      <c r="W81" s="109">
        <v>66.75009</v>
      </c>
      <c r="X81" s="109">
        <v>55.352460000000001</v>
      </c>
      <c r="Y81" s="109">
        <v>49.562840000000001</v>
      </c>
      <c r="Z81" s="108">
        <v>0.31106</v>
      </c>
      <c r="AA81" s="108">
        <v>0.45593</v>
      </c>
      <c r="AB81" s="100">
        <f t="shared" si="56"/>
        <v>108.70712609391794</v>
      </c>
      <c r="AC81" s="110" t="s">
        <v>187</v>
      </c>
      <c r="AD81" s="108">
        <v>49.562840000000001</v>
      </c>
      <c r="AE81" s="101" t="str">
        <f t="shared" si="58"/>
        <v/>
      </c>
      <c r="AF81" s="110" t="s">
        <v>187</v>
      </c>
      <c r="AG81" s="108">
        <v>9.9760600000000004</v>
      </c>
      <c r="AH81" s="101" t="str">
        <f t="shared" si="59"/>
        <v/>
      </c>
    </row>
    <row r="82" spans="11:34" x14ac:dyDescent="0.35">
      <c r="K82" s="117" t="str">
        <f>U195</f>
        <v>Bangladesh</v>
      </c>
      <c r="L82" s="116">
        <f t="shared" si="63"/>
        <v>7.6372600000000004</v>
      </c>
      <c r="M82" s="116">
        <f t="shared" si="63"/>
        <v>14.925560000000001</v>
      </c>
      <c r="N82" s="116">
        <f t="shared" si="63"/>
        <v>29.359089999999998</v>
      </c>
      <c r="O82" s="116">
        <f t="shared" si="63"/>
        <v>58.80612</v>
      </c>
      <c r="P82" s="115">
        <f t="shared" si="63"/>
        <v>0.70843</v>
      </c>
      <c r="Q82" s="114">
        <f>AB195</f>
        <v>80.538676454475734</v>
      </c>
      <c r="R82" s="113">
        <f t="shared" si="47"/>
        <v>113686.14606167968</v>
      </c>
      <c r="S82" s="112">
        <f t="shared" si="48"/>
        <v>83.009076408396027</v>
      </c>
      <c r="T82" s="111"/>
      <c r="U82" s="110" t="s">
        <v>262</v>
      </c>
      <c r="V82" s="109">
        <v>1.64828</v>
      </c>
      <c r="W82" s="109">
        <v>2.3603900000000002</v>
      </c>
      <c r="X82" s="109">
        <v>3.17456</v>
      </c>
      <c r="Y82" s="109">
        <v>3.8087399999999998</v>
      </c>
      <c r="Z82" s="108">
        <v>4.6709800000000001</v>
      </c>
      <c r="AA82" s="108">
        <v>0.20349</v>
      </c>
      <c r="AB82" s="100">
        <f t="shared" si="56"/>
        <v>18.717086834733891</v>
      </c>
      <c r="AC82" s="110" t="s">
        <v>262</v>
      </c>
      <c r="AD82" s="108">
        <v>3.8087399999999998</v>
      </c>
      <c r="AE82" s="101" t="str">
        <f t="shared" si="58"/>
        <v/>
      </c>
      <c r="AF82" s="110" t="s">
        <v>262</v>
      </c>
      <c r="AG82" s="108">
        <v>0.31106</v>
      </c>
      <c r="AH82" s="101" t="str">
        <f t="shared" si="59"/>
        <v/>
      </c>
    </row>
    <row r="83" spans="11:34" x14ac:dyDescent="0.35">
      <c r="K83" s="117" t="str">
        <f>U198</f>
        <v>Burma (Myanmar)</v>
      </c>
      <c r="L83" s="116">
        <f t="shared" ref="L83:P85" si="64">+V198</f>
        <v>4.0127600000000001</v>
      </c>
      <c r="M83" s="116">
        <f t="shared" si="64"/>
        <v>4.6603500000000002</v>
      </c>
      <c r="N83" s="116">
        <f t="shared" si="64"/>
        <v>9.0074400000000008</v>
      </c>
      <c r="O83" s="116">
        <f t="shared" si="64"/>
        <v>13.666600000000001</v>
      </c>
      <c r="P83" s="115">
        <f t="shared" si="64"/>
        <v>14.70172</v>
      </c>
      <c r="Q83" s="114">
        <f>AB198</f>
        <v>18.49837574445046</v>
      </c>
      <c r="R83" s="113">
        <f t="shared" ref="R83:R102" si="65">Q83/P83*1000</f>
        <v>1258.245684481167</v>
      </c>
      <c r="S83" s="112">
        <f t="shared" ref="S83:S102" si="66">O83/P83</f>
        <v>0.92959191169468613</v>
      </c>
      <c r="T83" s="111"/>
      <c r="U83" s="110" t="s">
        <v>264</v>
      </c>
      <c r="V83" s="109">
        <v>21.438490000000002</v>
      </c>
      <c r="W83" s="109">
        <v>25.734279999999998</v>
      </c>
      <c r="X83" s="109">
        <v>40.682229999999997</v>
      </c>
      <c r="Y83" s="109">
        <v>36.568339999999999</v>
      </c>
      <c r="Z83" s="108">
        <v>61.016800000000003</v>
      </c>
      <c r="AA83" s="108">
        <v>0.20230999999999999</v>
      </c>
      <c r="AB83" s="100">
        <f t="shared" si="56"/>
        <v>180.75399139933765</v>
      </c>
      <c r="AC83" s="110" t="s">
        <v>264</v>
      </c>
      <c r="AD83" s="108">
        <v>36.568339999999999</v>
      </c>
      <c r="AE83" s="101" t="str">
        <f t="shared" si="58"/>
        <v/>
      </c>
      <c r="AF83" s="110" t="s">
        <v>264</v>
      </c>
      <c r="AG83" s="108">
        <v>4.6709800000000001</v>
      </c>
      <c r="AH83" s="101" t="str">
        <f t="shared" si="59"/>
        <v/>
      </c>
    </row>
    <row r="84" spans="11:34" x14ac:dyDescent="0.35">
      <c r="K84" s="117" t="str">
        <f>U199</f>
        <v>Cambodia</v>
      </c>
      <c r="L84" s="116">
        <f t="shared" si="64"/>
        <v>4.0960000000000003E-2</v>
      </c>
      <c r="M84" s="116">
        <f t="shared" si="64"/>
        <v>0.46759000000000001</v>
      </c>
      <c r="N84" s="116">
        <f t="shared" si="64"/>
        <v>2.1515300000000002</v>
      </c>
      <c r="O84" s="116">
        <f t="shared" si="64"/>
        <v>4.3900300000000003</v>
      </c>
      <c r="P84" s="115">
        <f t="shared" si="64"/>
        <v>1336.71801</v>
      </c>
      <c r="Q84" s="114">
        <f>AB199</f>
        <v>10.182613132929744</v>
      </c>
      <c r="R84" s="113">
        <f t="shared" si="65"/>
        <v>7.6176224579556191</v>
      </c>
      <c r="S84" s="112">
        <f t="shared" si="66"/>
        <v>3.284185570298406E-3</v>
      </c>
      <c r="T84" s="111"/>
      <c r="U84" s="110" t="s">
        <v>122</v>
      </c>
      <c r="V84" s="109">
        <v>371.78881999999999</v>
      </c>
      <c r="W84" s="109">
        <v>415.40895</v>
      </c>
      <c r="X84" s="109">
        <v>447.72291999999999</v>
      </c>
      <c r="Y84" s="109">
        <v>400.93916000000002</v>
      </c>
      <c r="Z84" s="108">
        <v>0.50329999999999997</v>
      </c>
      <c r="AA84" s="108">
        <v>0.23923</v>
      </c>
      <c r="AB84" s="100">
        <f t="shared" si="56"/>
        <v>1675.9568615976259</v>
      </c>
      <c r="AC84" s="110" t="s">
        <v>122</v>
      </c>
      <c r="AD84" s="108">
        <v>400.93916000000002</v>
      </c>
      <c r="AE84" s="101" t="str">
        <f t="shared" si="58"/>
        <v/>
      </c>
      <c r="AF84" s="110" t="s">
        <v>122</v>
      </c>
      <c r="AG84" s="108">
        <v>61.016800000000003</v>
      </c>
      <c r="AH84" s="101" t="str">
        <f t="shared" si="59"/>
        <v/>
      </c>
    </row>
    <row r="85" spans="11:34" x14ac:dyDescent="0.35">
      <c r="K85" s="117" t="str">
        <f>U200</f>
        <v>China</v>
      </c>
      <c r="L85" s="116">
        <f t="shared" si="64"/>
        <v>1448.46396</v>
      </c>
      <c r="M85" s="116">
        <f t="shared" si="64"/>
        <v>2269.7094099999999</v>
      </c>
      <c r="N85" s="116">
        <f t="shared" si="64"/>
        <v>2849.7495100000001</v>
      </c>
      <c r="O85" s="116">
        <f t="shared" si="64"/>
        <v>8715.3072400000001</v>
      </c>
      <c r="P85" s="115">
        <f t="shared" si="64"/>
        <v>1.112E-2</v>
      </c>
      <c r="Q85" s="114">
        <f>AB200</f>
        <v>4007.0193884166051</v>
      </c>
      <c r="R85" s="113">
        <f t="shared" si="65"/>
        <v>360343470.1813494</v>
      </c>
      <c r="S85" s="112">
        <f t="shared" si="66"/>
        <v>783750.65107913676</v>
      </c>
      <c r="T85" s="111"/>
      <c r="U85" s="110" t="s">
        <v>279</v>
      </c>
      <c r="V85" s="109">
        <v>11.64185</v>
      </c>
      <c r="W85" s="109">
        <v>10.72024</v>
      </c>
      <c r="X85" s="109">
        <v>9.0264000000000006</v>
      </c>
      <c r="Y85" s="109">
        <v>11.868690000000001</v>
      </c>
      <c r="Z85" s="108">
        <v>2.0773299999999999</v>
      </c>
      <c r="AA85" s="108">
        <v>0.25436999999999999</v>
      </c>
      <c r="AB85" s="100">
        <f t="shared" si="56"/>
        <v>46.659157919565992</v>
      </c>
      <c r="AC85" s="110" t="s">
        <v>279</v>
      </c>
      <c r="AD85" s="108">
        <v>11.868690000000001</v>
      </c>
      <c r="AE85" s="101" t="str">
        <f t="shared" si="58"/>
        <v/>
      </c>
      <c r="AF85" s="110" t="s">
        <v>279</v>
      </c>
      <c r="AG85" s="108">
        <v>0.50329999999999997</v>
      </c>
      <c r="AH85" s="101" t="str">
        <f t="shared" si="59"/>
        <v/>
      </c>
    </row>
    <row r="86" spans="11:34" x14ac:dyDescent="0.35">
      <c r="K86" s="117" t="str">
        <f>U206</f>
        <v>Hong Kong</v>
      </c>
      <c r="L86" s="116">
        <f t="shared" ref="L86:P89" si="67">+V206</f>
        <v>18.17024</v>
      </c>
      <c r="M86" s="116">
        <f t="shared" si="67"/>
        <v>40.055019999999999</v>
      </c>
      <c r="N86" s="116">
        <f t="shared" si="67"/>
        <v>55.715620000000001</v>
      </c>
      <c r="O86" s="116">
        <f t="shared" si="67"/>
        <v>92.908749999999998</v>
      </c>
      <c r="P86" s="115">
        <f t="shared" si="67"/>
        <v>1189.17291</v>
      </c>
      <c r="Q86" s="114">
        <f>AB206</f>
        <v>237.61220940640902</v>
      </c>
      <c r="R86" s="113">
        <f t="shared" si="65"/>
        <v>199.81300230460934</v>
      </c>
      <c r="S86" s="112">
        <f t="shared" si="66"/>
        <v>7.8128882031125307E-2</v>
      </c>
      <c r="T86" s="111"/>
      <c r="U86" s="110" t="s">
        <v>548</v>
      </c>
      <c r="V86" s="109" t="s">
        <v>545</v>
      </c>
      <c r="W86" s="109" t="s">
        <v>545</v>
      </c>
      <c r="X86" s="109">
        <v>8.4170200000000008</v>
      </c>
      <c r="Y86" s="109">
        <v>6.9467800000000004</v>
      </c>
      <c r="Z86" s="108">
        <v>0.40833000000000003</v>
      </c>
      <c r="AA86" s="108">
        <v>1.16347</v>
      </c>
      <c r="AB86" s="100">
        <f t="shared" si="56"/>
        <v>5.9707426921192646</v>
      </c>
      <c r="AC86" s="110" t="s">
        <v>548</v>
      </c>
      <c r="AD86" s="108">
        <v>6.9467800000000004</v>
      </c>
      <c r="AE86" s="101" t="str">
        <f t="shared" si="58"/>
        <v/>
      </c>
      <c r="AF86" s="110" t="s">
        <v>548</v>
      </c>
      <c r="AG86" s="108">
        <v>2.0773299999999999</v>
      </c>
      <c r="AH86" s="101" t="str">
        <f t="shared" si="59"/>
        <v/>
      </c>
    </row>
    <row r="87" spans="11:34" x14ac:dyDescent="0.35">
      <c r="K87" s="117" t="str">
        <f>U207</f>
        <v>India</v>
      </c>
      <c r="L87" s="116">
        <f t="shared" si="67"/>
        <v>291.22527000000002</v>
      </c>
      <c r="M87" s="116">
        <f t="shared" si="67"/>
        <v>578.61869000000002</v>
      </c>
      <c r="N87" s="116">
        <f t="shared" si="67"/>
        <v>1002.95375</v>
      </c>
      <c r="O87" s="116">
        <f t="shared" si="67"/>
        <v>1725.7617600000001</v>
      </c>
      <c r="P87" s="115">
        <f t="shared" si="67"/>
        <v>246.06515999999999</v>
      </c>
      <c r="Q87" s="114">
        <f>AB207</f>
        <v>1249.6193131213661</v>
      </c>
      <c r="R87" s="113">
        <f t="shared" si="65"/>
        <v>5078.4081465306435</v>
      </c>
      <c r="S87" s="112">
        <f t="shared" si="66"/>
        <v>7.0134340026032138</v>
      </c>
      <c r="T87" s="111"/>
      <c r="U87" s="110" t="s">
        <v>286</v>
      </c>
      <c r="V87" s="109">
        <v>1.25892</v>
      </c>
      <c r="W87" s="109">
        <v>2.3718400000000002</v>
      </c>
      <c r="X87" s="109">
        <v>2.9141400000000002</v>
      </c>
      <c r="Y87" s="109">
        <v>6.83</v>
      </c>
      <c r="Z87" s="108">
        <v>0.66181000000000001</v>
      </c>
      <c r="AA87" s="108">
        <v>0.46288000000000001</v>
      </c>
      <c r="AB87" s="100">
        <f t="shared" si="56"/>
        <v>14.755444175596267</v>
      </c>
      <c r="AC87" s="110" t="s">
        <v>286</v>
      </c>
      <c r="AD87" s="108">
        <v>6.83</v>
      </c>
      <c r="AE87" s="101" t="str">
        <f t="shared" si="58"/>
        <v/>
      </c>
      <c r="AF87" s="110" t="s">
        <v>286</v>
      </c>
      <c r="AG87" s="108">
        <v>0.40833000000000003</v>
      </c>
      <c r="AH87" s="101" t="str">
        <f t="shared" si="59"/>
        <v/>
      </c>
    </row>
    <row r="88" spans="11:34" x14ac:dyDescent="0.35">
      <c r="K88" s="117" t="str">
        <f>U208</f>
        <v>Indonesia</v>
      </c>
      <c r="L88" s="116">
        <f t="shared" si="67"/>
        <v>85.798330000000007</v>
      </c>
      <c r="M88" s="116">
        <f t="shared" si="67"/>
        <v>155.97902999999999</v>
      </c>
      <c r="N88" s="116">
        <f t="shared" si="67"/>
        <v>266.25842</v>
      </c>
      <c r="O88" s="116">
        <f t="shared" si="67"/>
        <v>426.78953999999999</v>
      </c>
      <c r="P88" s="115">
        <f t="shared" si="67"/>
        <v>127.46953999999999</v>
      </c>
      <c r="Q88" s="114">
        <f>AB208</f>
        <v>413.11941844369801</v>
      </c>
      <c r="R88" s="113">
        <f t="shared" si="65"/>
        <v>3240.9265652303916</v>
      </c>
      <c r="S88" s="112">
        <f t="shared" si="66"/>
        <v>3.3481688252738655</v>
      </c>
      <c r="T88" s="111"/>
      <c r="U88" s="110" t="s">
        <v>549</v>
      </c>
      <c r="V88" s="109" t="s">
        <v>545</v>
      </c>
      <c r="W88" s="109" t="s">
        <v>545</v>
      </c>
      <c r="X88" s="109" t="s">
        <v>545</v>
      </c>
      <c r="Y88" s="109">
        <v>2.1661999999999999</v>
      </c>
      <c r="Z88" s="108">
        <v>16.653729999999999</v>
      </c>
      <c r="AA88" s="108">
        <v>0.70213999999999999</v>
      </c>
      <c r="AB88" s="100">
        <f t="shared" si="56"/>
        <v>3.0851397157262084</v>
      </c>
      <c r="AC88" s="110" t="s">
        <v>549</v>
      </c>
      <c r="AD88" s="108">
        <v>2.1661999999999999</v>
      </c>
      <c r="AE88" s="101" t="str">
        <f t="shared" si="58"/>
        <v/>
      </c>
      <c r="AF88" s="110" t="s">
        <v>549</v>
      </c>
      <c r="AG88" s="108">
        <v>0.66181000000000001</v>
      </c>
      <c r="AH88" s="101" t="str">
        <f t="shared" si="59"/>
        <v/>
      </c>
    </row>
    <row r="89" spans="11:34" x14ac:dyDescent="0.35">
      <c r="K89" s="117" t="str">
        <f>U209</f>
        <v>Japan</v>
      </c>
      <c r="L89" s="116">
        <f t="shared" si="67"/>
        <v>947.01433999999995</v>
      </c>
      <c r="M89" s="116">
        <f t="shared" si="67"/>
        <v>1046.9829199999999</v>
      </c>
      <c r="N89" s="116">
        <f t="shared" si="67"/>
        <v>1201.4292700000001</v>
      </c>
      <c r="O89" s="116">
        <f t="shared" si="67"/>
        <v>1180.6151299999999</v>
      </c>
      <c r="P89" s="115">
        <f t="shared" si="67"/>
        <v>0.10074</v>
      </c>
      <c r="Q89" s="114">
        <f>AB209</f>
        <v>4662.0404754383189</v>
      </c>
      <c r="R89" s="113">
        <f t="shared" si="65"/>
        <v>46277947.939629927</v>
      </c>
      <c r="S89" s="112">
        <f t="shared" si="66"/>
        <v>11719.427536231884</v>
      </c>
      <c r="T89" s="111"/>
      <c r="U89" s="110" t="s">
        <v>123</v>
      </c>
      <c r="V89" s="109">
        <v>201.09721999999999</v>
      </c>
      <c r="W89" s="109">
        <v>211.11539999999999</v>
      </c>
      <c r="X89" s="109">
        <v>246.26736</v>
      </c>
      <c r="Y89" s="109">
        <v>252.99592999999999</v>
      </c>
      <c r="Z89" s="108">
        <v>4.6918499999999996</v>
      </c>
      <c r="AA89" s="108">
        <v>0.38621</v>
      </c>
      <c r="AB89" s="100">
        <f t="shared" si="56"/>
        <v>655.07348333808034</v>
      </c>
      <c r="AC89" s="110" t="s">
        <v>123</v>
      </c>
      <c r="AD89" s="108">
        <v>252.99592999999999</v>
      </c>
      <c r="AE89" s="101" t="str">
        <f t="shared" si="58"/>
        <v/>
      </c>
      <c r="AF89" s="110" t="s">
        <v>123</v>
      </c>
      <c r="AG89" s="108">
        <v>16.653729999999999</v>
      </c>
      <c r="AH89" s="101" t="str">
        <f t="shared" si="59"/>
        <v/>
      </c>
    </row>
    <row r="90" spans="11:34" x14ac:dyDescent="0.35">
      <c r="K90" s="117" t="str">
        <f>U211</f>
        <v>Korea, North</v>
      </c>
      <c r="L90" s="116">
        <f t="shared" ref="L90:P91" si="68">+V211</f>
        <v>110.5128</v>
      </c>
      <c r="M90" s="116">
        <f t="shared" si="68"/>
        <v>124.17545</v>
      </c>
      <c r="N90" s="116">
        <f t="shared" si="68"/>
        <v>69.403930000000003</v>
      </c>
      <c r="O90" s="116">
        <f t="shared" si="68"/>
        <v>65.960260000000005</v>
      </c>
      <c r="P90" s="115">
        <f t="shared" si="68"/>
        <v>48.754660000000001</v>
      </c>
      <c r="Q90" s="114">
        <f>AB211</f>
        <v>27.643659711075447</v>
      </c>
      <c r="R90" s="113">
        <f t="shared" si="65"/>
        <v>566.99523104202638</v>
      </c>
      <c r="S90" s="112">
        <f t="shared" si="66"/>
        <v>1.3529016508370688</v>
      </c>
      <c r="T90" s="111"/>
      <c r="U90" s="110" t="s">
        <v>300</v>
      </c>
      <c r="V90" s="109">
        <v>33.569540000000003</v>
      </c>
      <c r="W90" s="109">
        <v>34.784030000000001</v>
      </c>
      <c r="X90" s="109">
        <v>41.250590000000003</v>
      </c>
      <c r="Y90" s="109">
        <v>45.869070000000001</v>
      </c>
      <c r="Z90" s="108">
        <v>38.441589999999998</v>
      </c>
      <c r="AA90" s="108">
        <v>0.13378999999999999</v>
      </c>
      <c r="AB90" s="100">
        <f t="shared" si="56"/>
        <v>342.84378503625089</v>
      </c>
      <c r="AC90" s="110" t="s">
        <v>300</v>
      </c>
      <c r="AD90" s="108">
        <v>45.869070000000001</v>
      </c>
      <c r="AE90" s="101" t="str">
        <f t="shared" si="58"/>
        <v/>
      </c>
      <c r="AF90" s="110" t="s">
        <v>300</v>
      </c>
      <c r="AG90" s="108">
        <v>4.6918499999999996</v>
      </c>
      <c r="AH90" s="101" t="str">
        <f t="shared" si="59"/>
        <v/>
      </c>
    </row>
    <row r="91" spans="11:34" x14ac:dyDescent="0.35">
      <c r="K91" s="117" t="str">
        <f>U212</f>
        <v>Korea, South</v>
      </c>
      <c r="L91" s="116">
        <f t="shared" si="68"/>
        <v>131.73553000000001</v>
      </c>
      <c r="M91" s="116">
        <f t="shared" si="68"/>
        <v>242.13184000000001</v>
      </c>
      <c r="N91" s="116">
        <f t="shared" si="68"/>
        <v>438.82654000000002</v>
      </c>
      <c r="O91" s="116">
        <f t="shared" si="68"/>
        <v>610.9538</v>
      </c>
      <c r="P91" s="115">
        <f t="shared" si="68"/>
        <v>6.4772100000000004</v>
      </c>
      <c r="Q91" s="114">
        <f>AB212</f>
        <v>1071.9428020001756</v>
      </c>
      <c r="R91" s="113">
        <f t="shared" si="65"/>
        <v>165494.52650140654</v>
      </c>
      <c r="S91" s="112">
        <f t="shared" si="66"/>
        <v>94.323605379476646</v>
      </c>
      <c r="T91" s="111"/>
      <c r="U91" s="110" t="s">
        <v>188</v>
      </c>
      <c r="V91" s="109">
        <v>428.9461</v>
      </c>
      <c r="W91" s="109">
        <v>333.78877</v>
      </c>
      <c r="X91" s="109">
        <v>292.56378999999998</v>
      </c>
      <c r="Y91" s="109">
        <v>307.91091999999998</v>
      </c>
      <c r="Z91" s="108">
        <v>10.76031</v>
      </c>
      <c r="AA91" s="108">
        <v>0.79315000000000002</v>
      </c>
      <c r="AB91" s="100">
        <f t="shared" si="56"/>
        <v>388.21272142722052</v>
      </c>
      <c r="AC91" s="110" t="s">
        <v>188</v>
      </c>
      <c r="AD91" s="108">
        <v>307.91091999999998</v>
      </c>
      <c r="AE91" s="101" t="str">
        <f t="shared" si="58"/>
        <v/>
      </c>
      <c r="AF91" s="110" t="s">
        <v>188</v>
      </c>
      <c r="AG91" s="108">
        <v>38.441589999999998</v>
      </c>
      <c r="AH91" s="101" t="str">
        <f t="shared" si="59"/>
        <v/>
      </c>
    </row>
    <row r="92" spans="11:34" x14ac:dyDescent="0.35">
      <c r="K92" s="117" t="str">
        <f>U215</f>
        <v>Malaysia</v>
      </c>
      <c r="L92" s="116">
        <f>+V215</f>
        <v>26.330259999999999</v>
      </c>
      <c r="M92" s="116">
        <f>+W215</f>
        <v>64.980509999999995</v>
      </c>
      <c r="N92" s="116">
        <f>+X215</f>
        <v>117.46957</v>
      </c>
      <c r="O92" s="116">
        <f>+Y215</f>
        <v>191.44414</v>
      </c>
      <c r="P92" s="115">
        <f>+Z215</f>
        <v>0.39500000000000002</v>
      </c>
      <c r="Q92" s="114">
        <f>AB215</f>
        <v>179.8931977711166</v>
      </c>
      <c r="R92" s="113">
        <f t="shared" si="65"/>
        <v>455425.8171420673</v>
      </c>
      <c r="S92" s="112">
        <f t="shared" si="66"/>
        <v>484.66870886075947</v>
      </c>
      <c r="T92" s="111"/>
      <c r="U92" s="110" t="s">
        <v>308</v>
      </c>
      <c r="V92" s="109">
        <v>23.563099999999999</v>
      </c>
      <c r="W92" s="109">
        <v>43.914929999999998</v>
      </c>
      <c r="X92" s="109">
        <v>63.540489999999998</v>
      </c>
      <c r="Y92" s="109">
        <v>54.173960000000001</v>
      </c>
      <c r="Z92" s="108">
        <v>21.90455</v>
      </c>
      <c r="AA92" s="108">
        <v>0.26188</v>
      </c>
      <c r="AB92" s="100">
        <f t="shared" si="56"/>
        <v>206.86558729188943</v>
      </c>
      <c r="AC92" s="110" t="s">
        <v>308</v>
      </c>
      <c r="AD92" s="108">
        <v>54.173960000000001</v>
      </c>
      <c r="AE92" s="101" t="str">
        <f t="shared" si="58"/>
        <v/>
      </c>
      <c r="AF92" s="110" t="s">
        <v>308</v>
      </c>
      <c r="AG92" s="108">
        <v>10.76031</v>
      </c>
      <c r="AH92" s="101" t="str">
        <f t="shared" si="59"/>
        <v/>
      </c>
    </row>
    <row r="93" spans="11:34" x14ac:dyDescent="0.35">
      <c r="K93" s="117" t="str">
        <f>U219</f>
        <v>Nepal</v>
      </c>
      <c r="L93" s="116">
        <f>+V219</f>
        <v>0.47667999999999999</v>
      </c>
      <c r="M93" s="116">
        <f>+W219</f>
        <v>0.62941999999999998</v>
      </c>
      <c r="N93" s="116">
        <f>+X219</f>
        <v>3.0981999999999998</v>
      </c>
      <c r="O93" s="116">
        <f>+Y219</f>
        <v>3.1729099999999999</v>
      </c>
      <c r="P93" s="115">
        <f>+Z219</f>
        <v>0.25627</v>
      </c>
      <c r="Q93" s="114">
        <f>AB219</f>
        <v>9.543160490856593</v>
      </c>
      <c r="R93" s="113">
        <f t="shared" si="65"/>
        <v>37238.695480768693</v>
      </c>
      <c r="S93" s="112">
        <f t="shared" si="66"/>
        <v>12.381121473445974</v>
      </c>
      <c r="T93" s="111"/>
      <c r="U93" s="110" t="s">
        <v>189</v>
      </c>
      <c r="V93" s="109">
        <v>170.89883</v>
      </c>
      <c r="W93" s="109">
        <v>176.09970000000001</v>
      </c>
      <c r="X93" s="109">
        <v>93.277479999999997</v>
      </c>
      <c r="Y93" s="109">
        <v>86.189959999999999</v>
      </c>
      <c r="Z93" s="108">
        <v>7.3105599999999997</v>
      </c>
      <c r="AA93" s="108">
        <v>0.70704</v>
      </c>
      <c r="AB93" s="100">
        <f t="shared" si="56"/>
        <v>121.90252319529306</v>
      </c>
      <c r="AC93" s="110" t="s">
        <v>189</v>
      </c>
      <c r="AD93" s="108">
        <v>86.189959999999999</v>
      </c>
      <c r="AE93" s="101" t="str">
        <f t="shared" si="58"/>
        <v/>
      </c>
      <c r="AF93" s="110" t="s">
        <v>189</v>
      </c>
      <c r="AG93" s="108">
        <v>21.90455</v>
      </c>
      <c r="AH93" s="101" t="str">
        <f t="shared" si="59"/>
        <v/>
      </c>
    </row>
    <row r="94" spans="11:34" x14ac:dyDescent="0.35">
      <c r="K94" s="117" t="str">
        <f>U221</f>
        <v>New Zealand</v>
      </c>
      <c r="L94" s="116">
        <f>+V221</f>
        <v>20.040179999999999</v>
      </c>
      <c r="M94" s="116">
        <f>+W221</f>
        <v>28.8263</v>
      </c>
      <c r="N94" s="116">
        <f>+X221</f>
        <v>36.030500000000004</v>
      </c>
      <c r="O94" s="116">
        <f>+Y221</f>
        <v>37.169289999999997</v>
      </c>
      <c r="P94" s="115">
        <f>+Z221</f>
        <v>1.4E-3</v>
      </c>
      <c r="Q94" s="114">
        <f>AB221</f>
        <v>111.77053074725603</v>
      </c>
      <c r="R94" s="113">
        <f t="shared" si="65"/>
        <v>79836093.39089717</v>
      </c>
      <c r="S94" s="112">
        <f t="shared" si="66"/>
        <v>26549.492857142854</v>
      </c>
      <c r="T94" s="111"/>
      <c r="U94" s="110" t="s">
        <v>550</v>
      </c>
      <c r="V94" s="109" t="s">
        <v>545</v>
      </c>
      <c r="W94" s="109" t="s">
        <v>545</v>
      </c>
      <c r="X94" s="109" t="s">
        <v>545</v>
      </c>
      <c r="Y94" s="109">
        <v>58.498060000000002</v>
      </c>
      <c r="Z94" s="108">
        <v>5.4770399999999997</v>
      </c>
      <c r="AA94" s="108">
        <v>1.46279</v>
      </c>
      <c r="AB94" s="100">
        <f t="shared" si="56"/>
        <v>39.99074371577602</v>
      </c>
      <c r="AC94" s="110" t="s">
        <v>550</v>
      </c>
      <c r="AD94" s="108">
        <v>58.498060000000002</v>
      </c>
      <c r="AE94" s="101" t="str">
        <f t="shared" si="58"/>
        <v/>
      </c>
      <c r="AF94" s="110" t="s">
        <v>550</v>
      </c>
      <c r="AG94" s="108">
        <v>7.3105599999999997</v>
      </c>
      <c r="AH94" s="101" t="str">
        <f t="shared" si="59"/>
        <v/>
      </c>
    </row>
    <row r="95" spans="11:34" x14ac:dyDescent="0.35">
      <c r="K95" s="117" t="str">
        <f>U223</f>
        <v>Pakistan</v>
      </c>
      <c r="L95" s="116">
        <f>+V223</f>
        <v>33.67436</v>
      </c>
      <c r="M95" s="116">
        <f>+W223</f>
        <v>66.983680000000007</v>
      </c>
      <c r="N95" s="116">
        <f>+X223</f>
        <v>108.99674</v>
      </c>
      <c r="O95" s="116">
        <f>+Y223</f>
        <v>139.66443000000001</v>
      </c>
      <c r="P95" s="115">
        <f>+Z223</f>
        <v>6.1875900000000001</v>
      </c>
      <c r="Q95" s="114">
        <f>AB223</f>
        <v>124.71263249069105</v>
      </c>
      <c r="R95" s="113">
        <f t="shared" si="65"/>
        <v>20155.283800428122</v>
      </c>
      <c r="S95" s="112">
        <f t="shared" si="66"/>
        <v>22.571700775261451</v>
      </c>
      <c r="T95" s="111"/>
      <c r="U95" s="110" t="s">
        <v>376</v>
      </c>
      <c r="V95" s="109" t="s">
        <v>545</v>
      </c>
      <c r="W95" s="109" t="s">
        <v>545</v>
      </c>
      <c r="X95" s="109">
        <v>36.399090000000001</v>
      </c>
      <c r="Y95" s="109">
        <v>34.882570000000001</v>
      </c>
      <c r="Z95" s="108">
        <v>2.0000900000000001</v>
      </c>
      <c r="AA95" s="108">
        <v>0.57372999999999996</v>
      </c>
      <c r="AB95" s="100">
        <f t="shared" si="56"/>
        <v>60.79962700224845</v>
      </c>
      <c r="AC95" s="110" t="s">
        <v>376</v>
      </c>
      <c r="AD95" s="108">
        <v>34.882570000000001</v>
      </c>
      <c r="AE95" s="101" t="str">
        <f t="shared" si="58"/>
        <v/>
      </c>
      <c r="AF95" s="110" t="s">
        <v>376</v>
      </c>
      <c r="AG95" s="108">
        <v>5.4770399999999997</v>
      </c>
      <c r="AH95" s="101" t="str">
        <f t="shared" si="59"/>
        <v/>
      </c>
    </row>
    <row r="96" spans="11:34" x14ac:dyDescent="0.35">
      <c r="K96" s="117" t="str">
        <f>U225</f>
        <v>Philippines</v>
      </c>
      <c r="L96" s="116">
        <f>+V225</f>
        <v>33.863759999999999</v>
      </c>
      <c r="M96" s="116">
        <f>+W225</f>
        <v>41.391100000000002</v>
      </c>
      <c r="N96" s="116">
        <f>+X225</f>
        <v>70.878290000000007</v>
      </c>
      <c r="O96" s="116">
        <f>+Y225</f>
        <v>81.150549999999996</v>
      </c>
      <c r="P96" s="115">
        <f>+Z225</f>
        <v>0.19316</v>
      </c>
      <c r="Q96" s="114">
        <f>AB225</f>
        <v>118.14714789039978</v>
      </c>
      <c r="R96" s="113">
        <f t="shared" si="65"/>
        <v>611654.31709670625</v>
      </c>
      <c r="S96" s="112">
        <f t="shared" si="66"/>
        <v>420.12088424104365</v>
      </c>
      <c r="T96" s="111"/>
      <c r="U96" s="110" t="s">
        <v>319</v>
      </c>
      <c r="V96" s="109" t="s">
        <v>545</v>
      </c>
      <c r="W96" s="109" t="s">
        <v>545</v>
      </c>
      <c r="X96" s="109">
        <v>15.678229999999999</v>
      </c>
      <c r="Y96" s="109">
        <v>15.82996</v>
      </c>
      <c r="Z96" s="108">
        <v>46.754779999999997</v>
      </c>
      <c r="AA96" s="108">
        <v>0.44755</v>
      </c>
      <c r="AB96" s="100">
        <f t="shared" si="56"/>
        <v>35.370260306111049</v>
      </c>
      <c r="AC96" s="110" t="s">
        <v>319</v>
      </c>
      <c r="AD96" s="108">
        <v>15.82996</v>
      </c>
      <c r="AE96" s="101" t="str">
        <f t="shared" si="58"/>
        <v/>
      </c>
      <c r="AF96" s="110" t="s">
        <v>319</v>
      </c>
      <c r="AG96" s="108">
        <v>2.0000900000000001</v>
      </c>
      <c r="AH96" s="101" t="str">
        <f t="shared" si="59"/>
        <v/>
      </c>
    </row>
    <row r="97" spans="11:34" x14ac:dyDescent="0.35">
      <c r="K97" s="117" t="str">
        <f>U227</f>
        <v>Singapore</v>
      </c>
      <c r="L97" s="116">
        <f>+V227</f>
        <v>29.413900000000002</v>
      </c>
      <c r="M97" s="116">
        <f>+W227</f>
        <v>57.732709999999997</v>
      </c>
      <c r="N97" s="116">
        <f>+X227</f>
        <v>107.64434</v>
      </c>
      <c r="O97" s="116">
        <f>+Y227</f>
        <v>212.39236</v>
      </c>
      <c r="P97" s="115">
        <f>+Z227</f>
        <v>0.57189000000000001</v>
      </c>
      <c r="Q97" s="114">
        <f>AB227</f>
        <v>209.89253985038192</v>
      </c>
      <c r="R97" s="113">
        <f t="shared" si="65"/>
        <v>367015.57965759485</v>
      </c>
      <c r="S97" s="112">
        <f t="shared" si="66"/>
        <v>371.38673521131687</v>
      </c>
      <c r="T97" s="111"/>
      <c r="U97" s="110" t="s">
        <v>124</v>
      </c>
      <c r="V97" s="109">
        <v>194.99610999999999</v>
      </c>
      <c r="W97" s="109">
        <v>224.13592</v>
      </c>
      <c r="X97" s="109">
        <v>317.48626000000002</v>
      </c>
      <c r="Y97" s="109">
        <v>318.64373999999998</v>
      </c>
      <c r="Z97" s="108">
        <v>9.08873</v>
      </c>
      <c r="AA97" s="108">
        <v>0.26863999999999999</v>
      </c>
      <c r="AB97" s="100">
        <f t="shared" si="56"/>
        <v>1186.1366140559858</v>
      </c>
      <c r="AC97" s="110" t="s">
        <v>124</v>
      </c>
      <c r="AD97" s="108">
        <v>318.64373999999998</v>
      </c>
      <c r="AE97" s="101" t="str">
        <f t="shared" si="58"/>
        <v/>
      </c>
      <c r="AF97" s="110" t="s">
        <v>124</v>
      </c>
      <c r="AG97" s="108">
        <v>46.754779999999997</v>
      </c>
      <c r="AH97" s="101" t="str">
        <f t="shared" si="59"/>
        <v/>
      </c>
    </row>
    <row r="98" spans="11:34" x14ac:dyDescent="0.35">
      <c r="K98" s="117" t="str">
        <f>U229</f>
        <v>Sri Lanka</v>
      </c>
      <c r="L98" s="116">
        <f t="shared" ref="L98:P100" si="69">+V229</f>
        <v>4.8785600000000002</v>
      </c>
      <c r="M98" s="116">
        <f t="shared" si="69"/>
        <v>5.2606799999999998</v>
      </c>
      <c r="N98" s="116">
        <f t="shared" si="69"/>
        <v>11.3287</v>
      </c>
      <c r="O98" s="116">
        <f t="shared" si="69"/>
        <v>13.098050000000001</v>
      </c>
      <c r="P98" s="115">
        <f t="shared" si="69"/>
        <v>23.17427</v>
      </c>
      <c r="Q98" s="114">
        <f>AB229</f>
        <v>30.672435191906892</v>
      </c>
      <c r="R98" s="113">
        <f t="shared" si="65"/>
        <v>1323.5556154263713</v>
      </c>
      <c r="S98" s="112">
        <f t="shared" si="66"/>
        <v>0.56519795445552334</v>
      </c>
      <c r="T98" s="111"/>
      <c r="U98" s="110" t="s">
        <v>145</v>
      </c>
      <c r="V98" s="109">
        <v>82.29665</v>
      </c>
      <c r="W98" s="109">
        <v>57.077730000000003</v>
      </c>
      <c r="X98" s="109">
        <v>60.652940000000001</v>
      </c>
      <c r="Y98" s="109">
        <v>53.145850000000003</v>
      </c>
      <c r="Z98" s="108">
        <v>7.8501000000000003</v>
      </c>
      <c r="AA98" s="108">
        <v>0.15825</v>
      </c>
      <c r="AB98" s="100">
        <f t="shared" si="56"/>
        <v>335.83475513428124</v>
      </c>
      <c r="AC98" s="110" t="s">
        <v>145</v>
      </c>
      <c r="AD98" s="108">
        <v>53.145850000000003</v>
      </c>
      <c r="AE98" s="101" t="str">
        <f t="shared" si="58"/>
        <v/>
      </c>
      <c r="AF98" s="110" t="s">
        <v>145</v>
      </c>
      <c r="AG98" s="108">
        <v>9.08873</v>
      </c>
      <c r="AH98" s="101" t="str">
        <f t="shared" si="59"/>
        <v/>
      </c>
    </row>
    <row r="99" spans="11:34" x14ac:dyDescent="0.35">
      <c r="K99" s="117" t="str">
        <f>U230</f>
        <v>Taiwan</v>
      </c>
      <c r="L99" s="116">
        <f t="shared" si="69"/>
        <v>70.637069999999994</v>
      </c>
      <c r="M99" s="116">
        <f t="shared" si="69"/>
        <v>118.31089</v>
      </c>
      <c r="N99" s="116">
        <f t="shared" si="69"/>
        <v>256.12684999999999</v>
      </c>
      <c r="O99" s="116">
        <f t="shared" si="69"/>
        <v>293.25528000000003</v>
      </c>
      <c r="P99" s="115">
        <f t="shared" si="69"/>
        <v>66.720150000000004</v>
      </c>
      <c r="Q99" s="114">
        <f>AB230</f>
        <v>426.10069308225451</v>
      </c>
      <c r="R99" s="113">
        <f t="shared" si="65"/>
        <v>6386.3869173293897</v>
      </c>
      <c r="S99" s="112">
        <f t="shared" si="66"/>
        <v>4.3953030681136056</v>
      </c>
      <c r="T99" s="111"/>
      <c r="U99" s="110" t="s">
        <v>146</v>
      </c>
      <c r="V99" s="109">
        <v>47.21855</v>
      </c>
      <c r="W99" s="109">
        <v>43.481389999999998</v>
      </c>
      <c r="X99" s="109">
        <v>45.439459999999997</v>
      </c>
      <c r="Y99" s="109">
        <v>43.363999999999997</v>
      </c>
      <c r="Z99" s="108">
        <v>78.785550000000001</v>
      </c>
      <c r="AA99" s="108">
        <v>0.1099</v>
      </c>
      <c r="AB99" s="100">
        <f t="shared" si="56"/>
        <v>394.57688808007276</v>
      </c>
      <c r="AC99" s="110" t="s">
        <v>146</v>
      </c>
      <c r="AD99" s="108">
        <v>43.363999999999997</v>
      </c>
      <c r="AE99" s="101" t="str">
        <f t="shared" si="58"/>
        <v/>
      </c>
      <c r="AF99" s="110" t="s">
        <v>146</v>
      </c>
      <c r="AG99" s="108">
        <v>7.8501000000000003</v>
      </c>
      <c r="AH99" s="101" t="str">
        <f t="shared" si="59"/>
        <v/>
      </c>
    </row>
    <row r="100" spans="11:34" x14ac:dyDescent="0.35">
      <c r="K100" s="117" t="str">
        <f>U231</f>
        <v>Thailand</v>
      </c>
      <c r="L100" s="116">
        <f t="shared" si="69"/>
        <v>33.56324</v>
      </c>
      <c r="M100" s="116">
        <f t="shared" si="69"/>
        <v>83.928479999999993</v>
      </c>
      <c r="N100" s="116">
        <f t="shared" si="69"/>
        <v>161.75206</v>
      </c>
      <c r="O100" s="116">
        <f t="shared" si="69"/>
        <v>269.62279000000001</v>
      </c>
      <c r="P100" s="115">
        <f t="shared" si="69"/>
        <v>1.1154200000000001</v>
      </c>
      <c r="Q100" s="114">
        <f>AB231</f>
        <v>202.78641536112636</v>
      </c>
      <c r="R100" s="113">
        <f t="shared" si="65"/>
        <v>181802.74278847998</v>
      </c>
      <c r="S100" s="112">
        <f t="shared" si="66"/>
        <v>241.72310878413512</v>
      </c>
      <c r="T100" s="111"/>
      <c r="U100" s="110" t="s">
        <v>125</v>
      </c>
      <c r="V100" s="109">
        <v>68.594110000000001</v>
      </c>
      <c r="W100" s="109">
        <v>129.47583</v>
      </c>
      <c r="X100" s="109">
        <v>201.92614</v>
      </c>
      <c r="Y100" s="109">
        <v>296.33521999999999</v>
      </c>
      <c r="Z100" s="108">
        <v>62.698360000000001</v>
      </c>
      <c r="AA100" s="108">
        <v>0.47219</v>
      </c>
      <c r="AB100" s="100">
        <f t="shared" si="56"/>
        <v>627.57622990745244</v>
      </c>
      <c r="AC100" s="110" t="s">
        <v>125</v>
      </c>
      <c r="AD100" s="108">
        <v>296.33521999999999</v>
      </c>
      <c r="AE100" s="101" t="str">
        <f t="shared" si="58"/>
        <v/>
      </c>
      <c r="AF100" s="110" t="s">
        <v>125</v>
      </c>
      <c r="AG100" s="108">
        <v>78.785550000000001</v>
      </c>
      <c r="AH100" s="101" t="str">
        <f t="shared" si="59"/>
        <v/>
      </c>
    </row>
    <row r="101" spans="11:34" x14ac:dyDescent="0.35">
      <c r="K101" s="117" t="str">
        <f>U236</f>
        <v>Vietnam</v>
      </c>
      <c r="L101" s="116">
        <f>+V236</f>
        <v>13.39865</v>
      </c>
      <c r="M101" s="116">
        <f>+W236</f>
        <v>16.844239999999999</v>
      </c>
      <c r="N101" s="116">
        <f>+X236</f>
        <v>46.112920000000003</v>
      </c>
      <c r="O101" s="116">
        <f>+Y236</f>
        <v>112.66128</v>
      </c>
      <c r="P101" s="115" t="str">
        <f>+Z236</f>
        <v>NA</v>
      </c>
      <c r="Q101" s="114">
        <f>AB236</f>
        <v>74.11877553437148</v>
      </c>
      <c r="R101" s="113" t="e">
        <f t="shared" si="65"/>
        <v>#VALUE!</v>
      </c>
      <c r="S101" s="112" t="e">
        <f t="shared" si="66"/>
        <v>#VALUE!</v>
      </c>
      <c r="T101" s="111"/>
      <c r="U101" s="110" t="s">
        <v>126</v>
      </c>
      <c r="V101" s="109">
        <v>613.56839000000002</v>
      </c>
      <c r="W101" s="109">
        <v>601.82453999999996</v>
      </c>
      <c r="X101" s="109">
        <v>560.33888000000002</v>
      </c>
      <c r="Y101" s="109">
        <v>496.79921999999999</v>
      </c>
      <c r="Z101" s="108">
        <v>288.49885999999998</v>
      </c>
      <c r="AA101" s="108">
        <v>0.22903999999999999</v>
      </c>
      <c r="AB101" s="100">
        <f t="shared" si="56"/>
        <v>2169.0500349283966</v>
      </c>
      <c r="AC101" s="110" t="s">
        <v>126</v>
      </c>
      <c r="AD101" s="108">
        <v>496.79921999999999</v>
      </c>
      <c r="AE101" s="101" t="str">
        <f t="shared" si="58"/>
        <v/>
      </c>
      <c r="AF101" s="110" t="s">
        <v>126</v>
      </c>
      <c r="AG101" s="108">
        <v>62.698360000000001</v>
      </c>
      <c r="AH101" s="101" t="str">
        <f t="shared" si="59"/>
        <v/>
      </c>
    </row>
    <row r="102" spans="11:34" x14ac:dyDescent="0.35">
      <c r="K102" s="117" t="str">
        <f>U238</f>
        <v>World</v>
      </c>
      <c r="L102" s="116">
        <f>+V238</f>
        <v>18434.180420000001</v>
      </c>
      <c r="M102" s="116">
        <f>+W238</f>
        <v>21615.451679999998</v>
      </c>
      <c r="N102" s="116">
        <f>+X238</f>
        <v>23738.368040000001</v>
      </c>
      <c r="O102" s="116">
        <f>+Y238</f>
        <v>32578.645059999999</v>
      </c>
      <c r="P102" s="115">
        <f>+Z238</f>
        <v>6853.0194099999999</v>
      </c>
      <c r="Q102" s="114">
        <f>AB238</f>
        <v>52482.71455497382</v>
      </c>
      <c r="R102" s="113">
        <f t="shared" si="65"/>
        <v>7658.3344384506599</v>
      </c>
      <c r="S102" s="112">
        <f t="shared" si="66"/>
        <v>4.7539111026682468</v>
      </c>
      <c r="T102" s="111"/>
      <c r="U102" s="110" t="s">
        <v>551</v>
      </c>
      <c r="V102" s="109">
        <v>3081.8701799999999</v>
      </c>
      <c r="W102" s="109">
        <v>3820.84978</v>
      </c>
      <c r="X102" s="109">
        <v>2261.0521100000001</v>
      </c>
      <c r="Y102" s="109">
        <v>2638.6259300000002</v>
      </c>
      <c r="Z102" s="108">
        <v>2.9679799999999998</v>
      </c>
      <c r="AA102" s="108">
        <v>1.94499</v>
      </c>
      <c r="AB102" s="100">
        <f t="shared" si="56"/>
        <v>1356.6269903701304</v>
      </c>
      <c r="AC102" s="110" t="s">
        <v>551</v>
      </c>
      <c r="AD102" s="108">
        <v>2638.6259300000002</v>
      </c>
      <c r="AE102" s="101" t="str">
        <f t="shared" si="58"/>
        <v/>
      </c>
      <c r="AF102" s="110" t="s">
        <v>551</v>
      </c>
      <c r="AG102" s="108">
        <v>288.49885999999998</v>
      </c>
      <c r="AH102" s="101" t="str">
        <f t="shared" si="59"/>
        <v/>
      </c>
    </row>
    <row r="103" spans="11:34" x14ac:dyDescent="0.35">
      <c r="T103" s="111"/>
      <c r="U103" s="110" t="s">
        <v>205</v>
      </c>
      <c r="V103" s="109" t="s">
        <v>545</v>
      </c>
      <c r="W103" s="109" t="s">
        <v>545</v>
      </c>
      <c r="X103" s="109">
        <v>8.6115300000000001</v>
      </c>
      <c r="Y103" s="109">
        <v>11.74023</v>
      </c>
      <c r="Z103" s="108">
        <v>9.3972800000000003</v>
      </c>
      <c r="AA103" s="108">
        <v>1.94554</v>
      </c>
      <c r="AB103" s="100">
        <f t="shared" si="56"/>
        <v>6.0344325996895467</v>
      </c>
      <c r="AC103" s="110" t="s">
        <v>205</v>
      </c>
      <c r="AD103" s="108">
        <v>11.74023</v>
      </c>
      <c r="AE103" s="101" t="str">
        <f t="shared" si="58"/>
        <v/>
      </c>
      <c r="AF103" s="110" t="s">
        <v>205</v>
      </c>
      <c r="AG103" s="108">
        <v>2.9679799999999998</v>
      </c>
      <c r="AH103" s="101" t="str">
        <f t="shared" si="59"/>
        <v/>
      </c>
    </row>
    <row r="104" spans="11:34" x14ac:dyDescent="0.35">
      <c r="K104" s="156" t="s">
        <v>624</v>
      </c>
      <c r="T104" s="111"/>
      <c r="U104" s="110" t="s">
        <v>207</v>
      </c>
      <c r="V104" s="109" t="s">
        <v>545</v>
      </c>
      <c r="W104" s="109" t="s">
        <v>545</v>
      </c>
      <c r="X104" s="109">
        <v>43.761519999999997</v>
      </c>
      <c r="Y104" s="109">
        <v>36.519410000000001</v>
      </c>
      <c r="Z104" s="108">
        <v>9.6615099999999998</v>
      </c>
      <c r="AA104" s="108">
        <v>1.25742</v>
      </c>
      <c r="AB104" s="100">
        <f t="shared" si="56"/>
        <v>29.043127992238077</v>
      </c>
      <c r="AC104" s="110" t="s">
        <v>207</v>
      </c>
      <c r="AD104" s="108">
        <v>36.519410000000001</v>
      </c>
      <c r="AE104" s="101" t="str">
        <f t="shared" si="58"/>
        <v/>
      </c>
      <c r="AF104" s="110" t="s">
        <v>207</v>
      </c>
      <c r="AG104" s="108">
        <v>9.3972800000000003</v>
      </c>
      <c r="AH104" s="101" t="str">
        <f t="shared" si="59"/>
        <v/>
      </c>
    </row>
    <row r="105" spans="11:34" x14ac:dyDescent="0.35">
      <c r="T105" s="111"/>
      <c r="U105" s="110" t="s">
        <v>212</v>
      </c>
      <c r="V105" s="109" t="s">
        <v>545</v>
      </c>
      <c r="W105" s="109" t="s">
        <v>545</v>
      </c>
      <c r="X105" s="109">
        <v>60.052030000000002</v>
      </c>
      <c r="Y105" s="109">
        <v>67.157809999999998</v>
      </c>
      <c r="Z105" s="108">
        <v>1.2829600000000001</v>
      </c>
      <c r="AA105" s="108">
        <v>1.7115400000000001</v>
      </c>
      <c r="AB105" s="100">
        <f t="shared" si="56"/>
        <v>39.238235740911691</v>
      </c>
      <c r="AC105" s="110" t="s">
        <v>212</v>
      </c>
      <c r="AD105" s="108">
        <v>67.157809999999998</v>
      </c>
      <c r="AE105" s="101" t="str">
        <f t="shared" si="58"/>
        <v/>
      </c>
      <c r="AF105" s="110" t="s">
        <v>212</v>
      </c>
      <c r="AG105" s="108">
        <v>9.6615099999999998</v>
      </c>
      <c r="AH105" s="101" t="str">
        <f t="shared" si="59"/>
        <v/>
      </c>
    </row>
    <row r="106" spans="11:34" x14ac:dyDescent="0.35">
      <c r="T106" s="111"/>
      <c r="U106" s="110" t="s">
        <v>245</v>
      </c>
      <c r="V106" s="109" t="s">
        <v>545</v>
      </c>
      <c r="W106" s="109" t="s">
        <v>545</v>
      </c>
      <c r="X106" s="109">
        <v>16.27384</v>
      </c>
      <c r="Y106" s="109">
        <v>20.262889999999999</v>
      </c>
      <c r="Z106" s="108" t="s">
        <v>545</v>
      </c>
      <c r="AA106" s="108">
        <v>1.4965999999999999</v>
      </c>
      <c r="AB106" s="100">
        <f t="shared" si="56"/>
        <v>13.53928237337966</v>
      </c>
      <c r="AC106" s="110" t="s">
        <v>245</v>
      </c>
      <c r="AD106" s="108">
        <v>20.262889999999999</v>
      </c>
      <c r="AE106" s="101" t="str">
        <f t="shared" si="58"/>
        <v/>
      </c>
      <c r="AF106" s="110" t="s">
        <v>245</v>
      </c>
      <c r="AG106" s="108">
        <v>1.2829600000000001</v>
      </c>
      <c r="AH106" s="101" t="str">
        <f t="shared" si="59"/>
        <v/>
      </c>
    </row>
    <row r="107" spans="11:34" x14ac:dyDescent="0.35">
      <c r="T107" s="111"/>
      <c r="U107" s="110" t="s">
        <v>552</v>
      </c>
      <c r="V107" s="109">
        <v>3081.8701799999999</v>
      </c>
      <c r="W107" s="109">
        <v>3820.84978</v>
      </c>
      <c r="X107" s="109" t="s">
        <v>545</v>
      </c>
      <c r="Y107" s="109" t="s">
        <v>545</v>
      </c>
      <c r="Z107" s="108">
        <v>4.5858699999999999</v>
      </c>
      <c r="AA107" s="108" t="s">
        <v>545</v>
      </c>
      <c r="AB107" s="100" t="e">
        <f t="shared" si="56"/>
        <v>#VALUE!</v>
      </c>
      <c r="AC107" s="110" t="s">
        <v>552</v>
      </c>
      <c r="AD107" s="108" t="s">
        <v>545</v>
      </c>
      <c r="AE107" s="101" t="str">
        <f t="shared" si="58"/>
        <v/>
      </c>
      <c r="AF107" s="110" t="s">
        <v>552</v>
      </c>
      <c r="AG107" s="108" t="s">
        <v>545</v>
      </c>
      <c r="AH107" s="101" t="str">
        <f t="shared" si="59"/>
        <v/>
      </c>
    </row>
    <row r="108" spans="11:34" x14ac:dyDescent="0.35">
      <c r="T108" s="111"/>
      <c r="U108" s="110" t="s">
        <v>251</v>
      </c>
      <c r="V108" s="109" t="s">
        <v>545</v>
      </c>
      <c r="W108" s="109" t="s">
        <v>545</v>
      </c>
      <c r="X108" s="109">
        <v>4.6309399999999998</v>
      </c>
      <c r="Y108" s="109">
        <v>5.86761</v>
      </c>
      <c r="Z108" s="108">
        <v>17.304510000000001</v>
      </c>
      <c r="AA108" s="108">
        <v>0.65178999999999998</v>
      </c>
      <c r="AB108" s="100">
        <f t="shared" si="56"/>
        <v>9.0023013547308182</v>
      </c>
      <c r="AC108" s="110" t="s">
        <v>251</v>
      </c>
      <c r="AD108" s="108">
        <v>5.86761</v>
      </c>
      <c r="AE108" s="101" t="str">
        <f t="shared" si="58"/>
        <v/>
      </c>
      <c r="AF108" s="110" t="s">
        <v>251</v>
      </c>
      <c r="AG108" s="108">
        <v>4.5858699999999999</v>
      </c>
      <c r="AH108" s="101" t="str">
        <f t="shared" si="59"/>
        <v/>
      </c>
    </row>
    <row r="109" spans="11:34" x14ac:dyDescent="0.35">
      <c r="T109" s="111"/>
      <c r="U109" s="110" t="s">
        <v>127</v>
      </c>
      <c r="V109" s="109" t="s">
        <v>545</v>
      </c>
      <c r="W109" s="109" t="s">
        <v>545</v>
      </c>
      <c r="X109" s="109">
        <v>132.71124</v>
      </c>
      <c r="Y109" s="109">
        <v>195.35452000000001</v>
      </c>
      <c r="Z109" s="108">
        <v>5.45078</v>
      </c>
      <c r="AA109" s="108">
        <v>2.4393400000000001</v>
      </c>
      <c r="AB109" s="100">
        <f t="shared" si="56"/>
        <v>80.084990202267832</v>
      </c>
      <c r="AC109" s="110" t="s">
        <v>127</v>
      </c>
      <c r="AD109" s="108">
        <v>195.35452000000001</v>
      </c>
      <c r="AE109" s="101" t="str">
        <f t="shared" si="58"/>
        <v/>
      </c>
      <c r="AF109" s="110" t="s">
        <v>127</v>
      </c>
      <c r="AG109" s="108">
        <v>17.304510000000001</v>
      </c>
      <c r="AH109" s="101" t="str">
        <f t="shared" si="59"/>
        <v/>
      </c>
    </row>
    <row r="110" spans="11:34" x14ac:dyDescent="0.35">
      <c r="T110" s="111"/>
      <c r="U110" s="110" t="s">
        <v>383</v>
      </c>
      <c r="V110" s="109" t="s">
        <v>545</v>
      </c>
      <c r="W110" s="109" t="s">
        <v>545</v>
      </c>
      <c r="X110" s="109">
        <v>7.2094100000000001</v>
      </c>
      <c r="Y110" s="109">
        <v>7.7929199999999996</v>
      </c>
      <c r="Z110" s="108">
        <v>2.2047099999999999</v>
      </c>
      <c r="AA110" s="108">
        <v>1.4301900000000001</v>
      </c>
      <c r="AB110" s="100">
        <f t="shared" si="56"/>
        <v>5.4488704298030326</v>
      </c>
      <c r="AC110" s="110" t="s">
        <v>383</v>
      </c>
      <c r="AD110" s="108">
        <v>7.7929199999999996</v>
      </c>
      <c r="AE110" s="101" t="str">
        <f t="shared" si="58"/>
        <v/>
      </c>
      <c r="AF110" s="110" t="s">
        <v>383</v>
      </c>
      <c r="AG110" s="108">
        <v>5.45078</v>
      </c>
      <c r="AH110" s="101" t="str">
        <f t="shared" si="59"/>
        <v/>
      </c>
    </row>
    <row r="111" spans="11:34" x14ac:dyDescent="0.35">
      <c r="T111" s="111"/>
      <c r="U111" s="110" t="s">
        <v>274</v>
      </c>
      <c r="V111" s="109" t="s">
        <v>545</v>
      </c>
      <c r="W111" s="109" t="s">
        <v>545</v>
      </c>
      <c r="X111" s="109">
        <v>7.3764200000000004</v>
      </c>
      <c r="Y111" s="109">
        <v>8.4746199999999998</v>
      </c>
      <c r="Z111" s="108">
        <v>3.5355500000000002</v>
      </c>
      <c r="AA111" s="108">
        <v>0.58345000000000002</v>
      </c>
      <c r="AB111" s="100">
        <f t="shared" si="56"/>
        <v>14.525014997000598</v>
      </c>
      <c r="AC111" s="110" t="s">
        <v>274</v>
      </c>
      <c r="AD111" s="108">
        <v>8.4746199999999998</v>
      </c>
      <c r="AE111" s="101" t="str">
        <f t="shared" si="58"/>
        <v/>
      </c>
      <c r="AF111" s="110" t="s">
        <v>274</v>
      </c>
      <c r="AG111" s="108">
        <v>2.2047099999999999</v>
      </c>
      <c r="AH111" s="101" t="str">
        <f t="shared" si="59"/>
        <v/>
      </c>
    </row>
    <row r="112" spans="11:34" x14ac:dyDescent="0.35">
      <c r="T112" s="111"/>
      <c r="U112" s="110" t="s">
        <v>278</v>
      </c>
      <c r="V112" s="109" t="s">
        <v>545</v>
      </c>
      <c r="W112" s="109" t="s">
        <v>545</v>
      </c>
      <c r="X112" s="109">
        <v>13.272169999999999</v>
      </c>
      <c r="Y112" s="109">
        <v>16.04993</v>
      </c>
      <c r="Z112" s="108">
        <v>3.6941199999999998</v>
      </c>
      <c r="AA112" s="108">
        <v>0.58699999999999997</v>
      </c>
      <c r="AB112" s="100">
        <f t="shared" si="56"/>
        <v>27.342299829642251</v>
      </c>
      <c r="AC112" s="110" t="s">
        <v>278</v>
      </c>
      <c r="AD112" s="108">
        <v>16.04993</v>
      </c>
      <c r="AE112" s="101" t="str">
        <f t="shared" si="58"/>
        <v/>
      </c>
      <c r="AF112" s="110" t="s">
        <v>278</v>
      </c>
      <c r="AG112" s="108">
        <v>3.5355500000000002</v>
      </c>
      <c r="AH112" s="101" t="str">
        <f t="shared" si="59"/>
        <v/>
      </c>
    </row>
    <row r="113" spans="20:34" x14ac:dyDescent="0.35">
      <c r="T113" s="111"/>
      <c r="U113" s="110" t="s">
        <v>289</v>
      </c>
      <c r="V113" s="109" t="s">
        <v>545</v>
      </c>
      <c r="W113" s="109" t="s">
        <v>545</v>
      </c>
      <c r="X113" s="109">
        <v>5.8881600000000001</v>
      </c>
      <c r="Y113" s="109">
        <v>6.4669699999999999</v>
      </c>
      <c r="Z113" s="108">
        <v>142.52558999999999</v>
      </c>
      <c r="AA113" s="108">
        <v>2.1854499999999999</v>
      </c>
      <c r="AB113" s="100">
        <f t="shared" si="56"/>
        <v>2.9591022443890274</v>
      </c>
      <c r="AC113" s="110" t="s">
        <v>289</v>
      </c>
      <c r="AD113" s="108">
        <v>6.4669699999999999</v>
      </c>
      <c r="AE113" s="101" t="str">
        <f t="shared" si="58"/>
        <v/>
      </c>
      <c r="AF113" s="110" t="s">
        <v>289</v>
      </c>
      <c r="AG113" s="108">
        <v>3.6941199999999998</v>
      </c>
      <c r="AH113" s="101" t="str">
        <f t="shared" si="59"/>
        <v/>
      </c>
    </row>
    <row r="114" spans="20:34" x14ac:dyDescent="0.35">
      <c r="T114" s="111"/>
      <c r="U114" s="110" t="s">
        <v>190</v>
      </c>
      <c r="V114" s="109" t="s">
        <v>545</v>
      </c>
      <c r="W114" s="109" t="s">
        <v>545</v>
      </c>
      <c r="X114" s="109">
        <v>1498.77334</v>
      </c>
      <c r="Y114" s="109">
        <v>1788.1364599999999</v>
      </c>
      <c r="Z114" s="108">
        <v>7.6272000000000002</v>
      </c>
      <c r="AA114" s="108">
        <v>1.81603</v>
      </c>
      <c r="AB114" s="100">
        <f t="shared" si="56"/>
        <v>984.64037488367478</v>
      </c>
      <c r="AC114" s="110" t="s">
        <v>190</v>
      </c>
      <c r="AD114" s="108">
        <v>1788.1364599999999</v>
      </c>
      <c r="AE114" s="101" t="str">
        <f t="shared" si="58"/>
        <v/>
      </c>
      <c r="AF114" s="110" t="s">
        <v>190</v>
      </c>
      <c r="AG114" s="108">
        <v>142.52558999999999</v>
      </c>
      <c r="AH114" s="101" t="str">
        <f t="shared" si="59"/>
        <v/>
      </c>
    </row>
    <row r="115" spans="20:34" x14ac:dyDescent="0.35">
      <c r="T115" s="111"/>
      <c r="U115" s="110" t="s">
        <v>149</v>
      </c>
      <c r="V115" s="109" t="s">
        <v>545</v>
      </c>
      <c r="W115" s="109" t="s">
        <v>545</v>
      </c>
      <c r="X115" s="109">
        <v>5.9538000000000002</v>
      </c>
      <c r="Y115" s="109">
        <v>2.6176900000000001</v>
      </c>
      <c r="Z115" s="108">
        <v>4.9974999999999996</v>
      </c>
      <c r="AA115" s="108">
        <v>2.13226</v>
      </c>
      <c r="AB115" s="100">
        <f t="shared" si="56"/>
        <v>1.2276598538639754</v>
      </c>
      <c r="AC115" s="110" t="s">
        <v>149</v>
      </c>
      <c r="AD115" s="108">
        <v>2.6176900000000001</v>
      </c>
      <c r="AE115" s="101" t="str">
        <f t="shared" si="58"/>
        <v/>
      </c>
      <c r="AF115" s="110" t="s">
        <v>149</v>
      </c>
      <c r="AG115" s="108">
        <v>7.6272000000000002</v>
      </c>
      <c r="AH115" s="101" t="str">
        <f t="shared" si="59"/>
        <v/>
      </c>
    </row>
    <row r="116" spans="20:34" x14ac:dyDescent="0.35">
      <c r="T116" s="111"/>
      <c r="U116" s="110" t="s">
        <v>156</v>
      </c>
      <c r="V116" s="109" t="s">
        <v>545</v>
      </c>
      <c r="W116" s="109" t="s">
        <v>545</v>
      </c>
      <c r="X116" s="109">
        <v>23.943670000000001</v>
      </c>
      <c r="Y116" s="109">
        <v>51.853110000000001</v>
      </c>
      <c r="Z116" s="108">
        <v>45.134709999999998</v>
      </c>
      <c r="AA116" s="108">
        <v>2.2693099999999999</v>
      </c>
      <c r="AB116" s="100">
        <f t="shared" si="56"/>
        <v>22.84972524688121</v>
      </c>
      <c r="AC116" s="110" t="s">
        <v>156</v>
      </c>
      <c r="AD116" s="108">
        <v>51.853110000000001</v>
      </c>
      <c r="AE116" s="101" t="str">
        <f t="shared" si="58"/>
        <v/>
      </c>
      <c r="AF116" s="110" t="s">
        <v>156</v>
      </c>
      <c r="AG116" s="108">
        <v>4.9974999999999996</v>
      </c>
      <c r="AH116" s="101" t="str">
        <f t="shared" si="59"/>
        <v/>
      </c>
    </row>
    <row r="117" spans="20:34" x14ac:dyDescent="0.35">
      <c r="T117" s="111"/>
      <c r="U117" s="110" t="s">
        <v>191</v>
      </c>
      <c r="V117" s="109" t="s">
        <v>545</v>
      </c>
      <c r="W117" s="109" t="s">
        <v>545</v>
      </c>
      <c r="X117" s="109">
        <v>324.86673999999999</v>
      </c>
      <c r="Y117" s="109">
        <v>304.44916000000001</v>
      </c>
      <c r="Z117" s="108">
        <v>28.128599999999999</v>
      </c>
      <c r="AA117" s="108">
        <v>3.0264500000000001</v>
      </c>
      <c r="AB117" s="100">
        <f t="shared" si="56"/>
        <v>100.59613078028714</v>
      </c>
      <c r="AC117" s="110" t="s">
        <v>191</v>
      </c>
      <c r="AD117" s="108">
        <v>304.44916000000001</v>
      </c>
      <c r="AE117" s="101" t="str">
        <f t="shared" si="58"/>
        <v/>
      </c>
      <c r="AF117" s="110" t="s">
        <v>191</v>
      </c>
      <c r="AG117" s="108">
        <v>45.134709999999998</v>
      </c>
      <c r="AH117" s="101" t="str">
        <f t="shared" si="59"/>
        <v/>
      </c>
    </row>
    <row r="118" spans="20:34" x14ac:dyDescent="0.35">
      <c r="T118" s="111"/>
      <c r="U118" s="110" t="s">
        <v>192</v>
      </c>
      <c r="V118" s="109" t="s">
        <v>545</v>
      </c>
      <c r="W118" s="109" t="s">
        <v>545</v>
      </c>
      <c r="X118" s="109">
        <v>107.72731</v>
      </c>
      <c r="Y118" s="109">
        <v>115.88258</v>
      </c>
      <c r="Z118" s="108">
        <v>217.26007999999999</v>
      </c>
      <c r="AA118" s="108">
        <v>5.6208600000000004</v>
      </c>
      <c r="AB118" s="100">
        <f t="shared" si="56"/>
        <v>20.616521315243574</v>
      </c>
      <c r="AC118" s="110" t="s">
        <v>192</v>
      </c>
      <c r="AD118" s="108">
        <v>115.88258</v>
      </c>
      <c r="AE118" s="101" t="str">
        <f t="shared" si="58"/>
        <v/>
      </c>
      <c r="AF118" s="110" t="s">
        <v>192</v>
      </c>
      <c r="AG118" s="108">
        <v>28.128599999999999</v>
      </c>
      <c r="AH118" s="101" t="str">
        <f t="shared" si="59"/>
        <v/>
      </c>
    </row>
    <row r="119" spans="20:34" x14ac:dyDescent="0.35">
      <c r="T119" s="111"/>
      <c r="U119" s="110" t="s">
        <v>131</v>
      </c>
      <c r="V119" s="109">
        <v>490.73070999999999</v>
      </c>
      <c r="W119" s="109">
        <v>729.88176999999996</v>
      </c>
      <c r="X119" s="109">
        <v>1094.9925900000001</v>
      </c>
      <c r="Y119" s="109">
        <v>1951.8079399999999</v>
      </c>
      <c r="Z119" s="108">
        <v>1.2146999999999999</v>
      </c>
      <c r="AA119" s="108">
        <v>1.30318</v>
      </c>
      <c r="AB119" s="100">
        <f t="shared" si="56"/>
        <v>1497.7270522874812</v>
      </c>
      <c r="AC119" s="110" t="s">
        <v>131</v>
      </c>
      <c r="AD119" s="108">
        <v>1951.8079399999999</v>
      </c>
      <c r="AE119" s="101" t="str">
        <f t="shared" si="58"/>
        <v/>
      </c>
      <c r="AF119" s="110" t="s">
        <v>131</v>
      </c>
      <c r="AG119" s="108">
        <v>217.26007999999999</v>
      </c>
      <c r="AH119" s="101" t="str">
        <f t="shared" si="59"/>
        <v/>
      </c>
    </row>
    <row r="120" spans="20:34" x14ac:dyDescent="0.35">
      <c r="T120" s="111"/>
      <c r="U120" s="110" t="s">
        <v>209</v>
      </c>
      <c r="V120" s="109">
        <v>7.75915</v>
      </c>
      <c r="W120" s="109">
        <v>14.28942</v>
      </c>
      <c r="X120" s="109">
        <v>20.264900000000001</v>
      </c>
      <c r="Y120" s="109">
        <v>29.697050000000001</v>
      </c>
      <c r="Z120" s="108">
        <v>77.891220000000004</v>
      </c>
      <c r="AA120" s="108">
        <v>1.7280800000000001</v>
      </c>
      <c r="AB120" s="100">
        <f t="shared" si="56"/>
        <v>17.184997222350816</v>
      </c>
      <c r="AC120" s="110" t="s">
        <v>209</v>
      </c>
      <c r="AD120" s="108">
        <v>29.697050000000001</v>
      </c>
      <c r="AE120" s="101" t="str">
        <f t="shared" si="58"/>
        <v/>
      </c>
      <c r="AF120" s="110" t="s">
        <v>209</v>
      </c>
      <c r="AG120" s="108">
        <v>1.2146999999999999</v>
      </c>
      <c r="AH120" s="101" t="str">
        <f t="shared" si="59"/>
        <v/>
      </c>
    </row>
    <row r="121" spans="20:34" x14ac:dyDescent="0.35">
      <c r="T121" s="111"/>
      <c r="U121" s="110" t="s">
        <v>128</v>
      </c>
      <c r="V121" s="109">
        <v>116.82839</v>
      </c>
      <c r="W121" s="109">
        <v>202.10583</v>
      </c>
      <c r="X121" s="109">
        <v>321.67845999999997</v>
      </c>
      <c r="Y121" s="109">
        <v>624.85537999999997</v>
      </c>
      <c r="Z121" s="108">
        <v>30.399570000000001</v>
      </c>
      <c r="AA121" s="108">
        <v>2.5964900000000002</v>
      </c>
      <c r="AB121" s="100">
        <f t="shared" si="56"/>
        <v>240.65387503899493</v>
      </c>
      <c r="AC121" s="110" t="s">
        <v>128</v>
      </c>
      <c r="AD121" s="108">
        <v>624.85537999999997</v>
      </c>
      <c r="AE121" s="101" t="str">
        <f t="shared" si="58"/>
        <v/>
      </c>
      <c r="AF121" s="110" t="s">
        <v>128</v>
      </c>
      <c r="AG121" s="108">
        <v>77.891220000000004</v>
      </c>
      <c r="AH121" s="101" t="str">
        <f t="shared" si="59"/>
        <v/>
      </c>
    </row>
    <row r="122" spans="20:34" x14ac:dyDescent="0.35">
      <c r="T122" s="111"/>
      <c r="U122" s="110" t="s">
        <v>378</v>
      </c>
      <c r="V122" s="109">
        <v>51.669289999999997</v>
      </c>
      <c r="W122" s="109">
        <v>69.189570000000003</v>
      </c>
      <c r="X122" s="109">
        <v>73.581950000000006</v>
      </c>
      <c r="Y122" s="109">
        <v>139.35388</v>
      </c>
      <c r="Z122" s="108">
        <v>7.4730499999999997</v>
      </c>
      <c r="AA122" s="108">
        <v>1.3815500000000001</v>
      </c>
      <c r="AB122" s="100">
        <f t="shared" si="56"/>
        <v>100.86777894393978</v>
      </c>
      <c r="AC122" s="110" t="s">
        <v>378</v>
      </c>
      <c r="AD122" s="108">
        <v>139.35388</v>
      </c>
      <c r="AE122" s="101" t="str">
        <f t="shared" si="58"/>
        <v/>
      </c>
      <c r="AF122" s="110" t="s">
        <v>378</v>
      </c>
      <c r="AG122" s="108">
        <v>30.399570000000001</v>
      </c>
      <c r="AH122" s="101" t="str">
        <f t="shared" si="59"/>
        <v/>
      </c>
    </row>
    <row r="123" spans="20:34" x14ac:dyDescent="0.35">
      <c r="T123" s="111"/>
      <c r="U123" s="110" t="s">
        <v>265</v>
      </c>
      <c r="V123" s="109">
        <v>23.495819999999998</v>
      </c>
      <c r="W123" s="109">
        <v>34.969090000000001</v>
      </c>
      <c r="X123" s="109">
        <v>60.326450000000001</v>
      </c>
      <c r="Y123" s="109">
        <v>72.095089999999999</v>
      </c>
      <c r="Z123" s="108">
        <v>6.5082700000000004</v>
      </c>
      <c r="AA123" s="108">
        <v>0.43269000000000002</v>
      </c>
      <c r="AB123" s="100">
        <f t="shared" si="56"/>
        <v>166.62065219903394</v>
      </c>
      <c r="AC123" s="110" t="s">
        <v>265</v>
      </c>
      <c r="AD123" s="108">
        <v>72.095089999999999</v>
      </c>
      <c r="AE123" s="101" t="str">
        <f t="shared" si="58"/>
        <v/>
      </c>
      <c r="AF123" s="110" t="s">
        <v>265</v>
      </c>
      <c r="AG123" s="108">
        <v>7.4730499999999997</v>
      </c>
      <c r="AH123" s="101" t="str">
        <f t="shared" si="59"/>
        <v/>
      </c>
    </row>
    <row r="124" spans="20:34" x14ac:dyDescent="0.35">
      <c r="T124" s="111"/>
      <c r="U124" s="110" t="s">
        <v>267</v>
      </c>
      <c r="V124" s="109">
        <v>5.2071500000000004</v>
      </c>
      <c r="W124" s="109">
        <v>10.17708</v>
      </c>
      <c r="X124" s="109">
        <v>15.63461</v>
      </c>
      <c r="Y124" s="109">
        <v>18.554089999999999</v>
      </c>
      <c r="Z124" s="108">
        <v>2.5956299999999999</v>
      </c>
      <c r="AA124" s="108">
        <v>1.13852</v>
      </c>
      <c r="AB124" s="100">
        <f t="shared" si="56"/>
        <v>16.296674630221691</v>
      </c>
      <c r="AC124" s="110" t="s">
        <v>267</v>
      </c>
      <c r="AD124" s="108">
        <v>18.554089999999999</v>
      </c>
      <c r="AE124" s="101" t="str">
        <f t="shared" si="58"/>
        <v/>
      </c>
      <c r="AF124" s="110" t="s">
        <v>267</v>
      </c>
      <c r="AG124" s="108">
        <v>6.5082700000000004</v>
      </c>
      <c r="AH124" s="101" t="str">
        <f t="shared" si="59"/>
        <v/>
      </c>
    </row>
    <row r="125" spans="20:34" x14ac:dyDescent="0.35">
      <c r="T125" s="111"/>
      <c r="U125" s="110" t="s">
        <v>271</v>
      </c>
      <c r="V125" s="109">
        <v>31.411650000000002</v>
      </c>
      <c r="W125" s="109">
        <v>27.73969</v>
      </c>
      <c r="X125" s="109">
        <v>59.49859</v>
      </c>
      <c r="Y125" s="109">
        <v>82.369320000000002</v>
      </c>
      <c r="Z125" s="108">
        <v>4.1430999999999996</v>
      </c>
      <c r="AA125" s="108">
        <v>0.85380999999999996</v>
      </c>
      <c r="AB125" s="100">
        <f t="shared" si="56"/>
        <v>96.472657851278399</v>
      </c>
      <c r="AC125" s="110" t="s">
        <v>271</v>
      </c>
      <c r="AD125" s="108">
        <v>82.369320000000002</v>
      </c>
      <c r="AE125" s="101" t="str">
        <f t="shared" si="58"/>
        <v/>
      </c>
      <c r="AF125" s="110" t="s">
        <v>271</v>
      </c>
      <c r="AG125" s="108">
        <v>2.5956299999999999</v>
      </c>
      <c r="AH125" s="101" t="str">
        <f t="shared" si="59"/>
        <v/>
      </c>
    </row>
    <row r="126" spans="20:34" x14ac:dyDescent="0.35">
      <c r="T126" s="111"/>
      <c r="U126" s="110" t="s">
        <v>275</v>
      </c>
      <c r="V126" s="109">
        <v>6.4373300000000002</v>
      </c>
      <c r="W126" s="109">
        <v>4.7065099999999997</v>
      </c>
      <c r="X126" s="109">
        <v>16.454740000000001</v>
      </c>
      <c r="Y126" s="109">
        <v>19.454799999999999</v>
      </c>
      <c r="Z126" s="108">
        <v>3.0279600000000002</v>
      </c>
      <c r="AA126" s="108">
        <v>0.51332999999999995</v>
      </c>
      <c r="AB126" s="100">
        <f t="shared" si="56"/>
        <v>37.899207137708686</v>
      </c>
      <c r="AC126" s="110" t="s">
        <v>275</v>
      </c>
      <c r="AD126" s="108">
        <v>19.454799999999999</v>
      </c>
      <c r="AE126" s="101" t="str">
        <f t="shared" si="58"/>
        <v/>
      </c>
      <c r="AF126" s="110" t="s">
        <v>275</v>
      </c>
      <c r="AG126" s="108">
        <v>4.1430999999999996</v>
      </c>
      <c r="AH126" s="101" t="str">
        <f t="shared" si="59"/>
        <v/>
      </c>
    </row>
    <row r="127" spans="20:34" x14ac:dyDescent="0.35">
      <c r="T127" s="111"/>
      <c r="U127" s="110" t="s">
        <v>301</v>
      </c>
      <c r="V127" s="109">
        <v>3.96</v>
      </c>
      <c r="W127" s="109">
        <v>12.455539999999999</v>
      </c>
      <c r="X127" s="109">
        <v>21.792110000000001</v>
      </c>
      <c r="Y127" s="109">
        <v>52.674410000000002</v>
      </c>
      <c r="Z127" s="108">
        <v>4.2257100000000003</v>
      </c>
      <c r="AA127" s="108">
        <v>1.29183</v>
      </c>
      <c r="AB127" s="100">
        <f t="shared" si="56"/>
        <v>40.775032318493921</v>
      </c>
      <c r="AC127" s="110" t="s">
        <v>301</v>
      </c>
      <c r="AD127" s="108">
        <v>52.674410000000002</v>
      </c>
      <c r="AE127" s="101" t="str">
        <f t="shared" si="58"/>
        <v/>
      </c>
      <c r="AF127" s="110" t="s">
        <v>301</v>
      </c>
      <c r="AG127" s="108">
        <v>3.0279600000000002</v>
      </c>
      <c r="AH127" s="101" t="str">
        <f t="shared" si="59"/>
        <v/>
      </c>
    </row>
    <row r="128" spans="20:34" x14ac:dyDescent="0.35">
      <c r="T128" s="111"/>
      <c r="U128" s="110" t="s">
        <v>578</v>
      </c>
      <c r="V128" s="109" t="s">
        <v>545</v>
      </c>
      <c r="W128" s="109" t="s">
        <v>545</v>
      </c>
      <c r="X128" s="109">
        <v>0.62817999999999996</v>
      </c>
      <c r="Y128" s="109">
        <v>2.5015499999999999</v>
      </c>
      <c r="Z128" s="108">
        <v>1.8492599999999999</v>
      </c>
      <c r="AA128" s="108">
        <v>0.59975000000000001</v>
      </c>
      <c r="AB128" s="100">
        <f t="shared" si="56"/>
        <v>4.1709879116298456</v>
      </c>
      <c r="AC128" s="110" t="s">
        <v>1115</v>
      </c>
      <c r="AD128" s="108">
        <v>2.5015499999999999</v>
      </c>
      <c r="AE128" s="101" t="str">
        <f t="shared" si="58"/>
        <v>no</v>
      </c>
      <c r="AF128" s="110" t="s">
        <v>1115</v>
      </c>
      <c r="AG128" s="108">
        <v>4.2257100000000003</v>
      </c>
      <c r="AH128" s="101" t="str">
        <f t="shared" si="59"/>
        <v>no</v>
      </c>
    </row>
    <row r="129" spans="20:34" x14ac:dyDescent="0.35">
      <c r="T129" s="111"/>
      <c r="U129" s="110" t="s">
        <v>309</v>
      </c>
      <c r="V129" s="109">
        <v>13.863390000000001</v>
      </c>
      <c r="W129" s="109">
        <v>18.77721</v>
      </c>
      <c r="X129" s="109">
        <v>34.698340000000002</v>
      </c>
      <c r="Y129" s="109">
        <v>64.458290000000005</v>
      </c>
      <c r="Z129" s="108">
        <v>26.131699999999999</v>
      </c>
      <c r="AA129" s="108">
        <v>0.62885000000000002</v>
      </c>
      <c r="AB129" s="100">
        <f t="shared" si="56"/>
        <v>102.50185258805757</v>
      </c>
      <c r="AC129" s="110" t="s">
        <v>309</v>
      </c>
      <c r="AD129" s="108">
        <v>64.458290000000005</v>
      </c>
      <c r="AE129" s="101" t="str">
        <f t="shared" si="58"/>
        <v/>
      </c>
      <c r="AF129" s="110" t="s">
        <v>309</v>
      </c>
      <c r="AG129" s="108">
        <v>1.8492599999999999</v>
      </c>
      <c r="AH129" s="101" t="str">
        <f t="shared" si="59"/>
        <v/>
      </c>
    </row>
    <row r="130" spans="20:34" x14ac:dyDescent="0.35">
      <c r="T130" s="111"/>
      <c r="U130" s="110" t="s">
        <v>129</v>
      </c>
      <c r="V130" s="109">
        <v>176.92239000000001</v>
      </c>
      <c r="W130" s="109">
        <v>208.02435</v>
      </c>
      <c r="X130" s="109">
        <v>290.53937999999999</v>
      </c>
      <c r="Y130" s="109">
        <v>513.52677000000006</v>
      </c>
      <c r="Z130" s="108">
        <v>22.517749999999999</v>
      </c>
      <c r="AA130" s="108">
        <v>1.3317000000000001</v>
      </c>
      <c r="AB130" s="100">
        <f t="shared" si="56"/>
        <v>385.61745888713676</v>
      </c>
      <c r="AC130" s="110" t="s">
        <v>129</v>
      </c>
      <c r="AD130" s="108">
        <v>513.52677000000006</v>
      </c>
      <c r="AE130" s="101" t="str">
        <f t="shared" si="58"/>
        <v/>
      </c>
      <c r="AF130" s="110" t="s">
        <v>129</v>
      </c>
      <c r="AG130" s="108">
        <v>26.131699999999999</v>
      </c>
      <c r="AH130" s="101" t="str">
        <f t="shared" si="59"/>
        <v/>
      </c>
    </row>
    <row r="131" spans="20:34" x14ac:dyDescent="0.35">
      <c r="T131" s="111"/>
      <c r="U131" s="110" t="s">
        <v>380</v>
      </c>
      <c r="V131" s="109">
        <v>16.430240000000001</v>
      </c>
      <c r="W131" s="109">
        <v>36.9253</v>
      </c>
      <c r="X131" s="109">
        <v>50.99418</v>
      </c>
      <c r="Y131" s="109">
        <v>63.142049999999998</v>
      </c>
      <c r="Z131" s="108">
        <v>5.1486599999999996</v>
      </c>
      <c r="AA131" s="108">
        <v>1.76742</v>
      </c>
      <c r="AB131" s="100">
        <f t="shared" si="56"/>
        <v>35.725549105475778</v>
      </c>
      <c r="AC131" s="110" t="s">
        <v>380</v>
      </c>
      <c r="AD131" s="108">
        <v>63.142049999999998</v>
      </c>
      <c r="AE131" s="101" t="str">
        <f t="shared" si="58"/>
        <v/>
      </c>
      <c r="AF131" s="110" t="s">
        <v>380</v>
      </c>
      <c r="AG131" s="108">
        <v>22.517749999999999</v>
      </c>
      <c r="AH131" s="101" t="str">
        <f t="shared" si="59"/>
        <v/>
      </c>
    </row>
    <row r="132" spans="20:34" x14ac:dyDescent="0.35">
      <c r="T132" s="111"/>
      <c r="U132" s="110" t="s">
        <v>130</v>
      </c>
      <c r="V132" s="109">
        <v>30.311689999999999</v>
      </c>
      <c r="W132" s="109">
        <v>79.080479999999994</v>
      </c>
      <c r="X132" s="109">
        <v>115.72235000000001</v>
      </c>
      <c r="Y132" s="109">
        <v>245.37672000000001</v>
      </c>
      <c r="Z132" s="108">
        <v>24.133489999999998</v>
      </c>
      <c r="AA132" s="108">
        <v>1.1302700000000001</v>
      </c>
      <c r="AB132" s="100">
        <f t="shared" si="56"/>
        <v>217.09566740690275</v>
      </c>
      <c r="AC132" s="110" t="s">
        <v>130</v>
      </c>
      <c r="AD132" s="108">
        <v>245.37672000000001</v>
      </c>
      <c r="AE132" s="101" t="str">
        <f t="shared" si="58"/>
        <v/>
      </c>
      <c r="AF132" s="110" t="s">
        <v>130</v>
      </c>
      <c r="AG132" s="108">
        <v>5.1486599999999996</v>
      </c>
      <c r="AH132" s="101" t="str">
        <f t="shared" si="59"/>
        <v/>
      </c>
    </row>
    <row r="133" spans="20:34" x14ac:dyDescent="0.35">
      <c r="T133" s="111"/>
      <c r="U133" s="110" t="s">
        <v>385</v>
      </c>
      <c r="V133" s="109">
        <v>6.4342199999999998</v>
      </c>
      <c r="W133" s="109">
        <v>11.441700000000001</v>
      </c>
      <c r="X133" s="109">
        <v>13.17836</v>
      </c>
      <c r="Y133" s="109">
        <v>23.748529999999999</v>
      </c>
      <c r="Z133" s="108">
        <v>1049.4785899999999</v>
      </c>
      <c r="AA133" s="108">
        <v>1.0831200000000001</v>
      </c>
      <c r="AB133" s="100">
        <f t="shared" si="56"/>
        <v>21.926037742817044</v>
      </c>
      <c r="AC133" s="110" t="s">
        <v>385</v>
      </c>
      <c r="AD133" s="108">
        <v>23.748529999999999</v>
      </c>
      <c r="AE133" s="101" t="str">
        <f t="shared" si="58"/>
        <v/>
      </c>
      <c r="AF133" s="110" t="s">
        <v>385</v>
      </c>
      <c r="AG133" s="108">
        <v>24.133489999999998</v>
      </c>
      <c r="AH133" s="101" t="str">
        <f t="shared" si="59"/>
        <v/>
      </c>
    </row>
    <row r="134" spans="20:34" x14ac:dyDescent="0.35">
      <c r="T134" s="111"/>
      <c r="U134" s="110" t="s">
        <v>135</v>
      </c>
      <c r="V134" s="109">
        <v>537.12487999999996</v>
      </c>
      <c r="W134" s="109">
        <v>725.69794999999999</v>
      </c>
      <c r="X134" s="109">
        <v>887.24913000000004</v>
      </c>
      <c r="Y134" s="109">
        <v>1152.22118</v>
      </c>
      <c r="Z134" s="108">
        <v>36.654290000000003</v>
      </c>
      <c r="AA134" s="108">
        <v>0.91173000000000004</v>
      </c>
      <c r="AB134" s="100">
        <f t="shared" si="56"/>
        <v>1263.7745604510108</v>
      </c>
      <c r="AC134" s="110" t="s">
        <v>135</v>
      </c>
      <c r="AD134" s="108">
        <v>1152.22118</v>
      </c>
      <c r="AE134" s="101" t="str">
        <f t="shared" si="58"/>
        <v/>
      </c>
      <c r="AF134" s="110" t="s">
        <v>135</v>
      </c>
      <c r="AG134" s="108">
        <v>1049.4785899999999</v>
      </c>
      <c r="AH134" s="101" t="str">
        <f t="shared" si="59"/>
        <v/>
      </c>
    </row>
    <row r="135" spans="20:34" x14ac:dyDescent="0.35">
      <c r="T135" s="111"/>
      <c r="U135" s="110" t="s">
        <v>202</v>
      </c>
      <c r="V135" s="109">
        <v>66.978700000000003</v>
      </c>
      <c r="W135" s="109">
        <v>83.119100000000003</v>
      </c>
      <c r="X135" s="109">
        <v>83.62997</v>
      </c>
      <c r="Y135" s="109">
        <v>117.24099</v>
      </c>
      <c r="Z135" s="108">
        <v>17.544730000000001</v>
      </c>
      <c r="AA135" s="108">
        <v>0.91812000000000005</v>
      </c>
      <c r="AB135" s="100">
        <f t="shared" ref="AB135:AB198" si="70">Y135/AA135</f>
        <v>127.69680433930205</v>
      </c>
      <c r="AC135" s="110" t="s">
        <v>202</v>
      </c>
      <c r="AD135" s="108">
        <v>117.24099</v>
      </c>
      <c r="AE135" s="101" t="str">
        <f t="shared" si="58"/>
        <v/>
      </c>
      <c r="AF135" s="110" t="s">
        <v>202</v>
      </c>
      <c r="AG135" s="108">
        <v>36.654290000000003</v>
      </c>
      <c r="AH135" s="101" t="str">
        <f t="shared" si="59"/>
        <v/>
      </c>
    </row>
    <row r="136" spans="20:34" x14ac:dyDescent="0.35">
      <c r="T136" s="111"/>
      <c r="U136" s="110" t="s">
        <v>203</v>
      </c>
      <c r="V136" s="109">
        <v>3.3891200000000001</v>
      </c>
      <c r="W136" s="109">
        <v>7.1684799999999997</v>
      </c>
      <c r="X136" s="109">
        <v>13.03284</v>
      </c>
      <c r="Y136" s="109">
        <v>26.973330000000001</v>
      </c>
      <c r="Z136" s="108">
        <v>9.3250299999999999</v>
      </c>
      <c r="AA136" s="108">
        <v>0.45568999999999998</v>
      </c>
      <c r="AB136" s="100">
        <f t="shared" si="70"/>
        <v>59.192279839364481</v>
      </c>
      <c r="AC136" s="110" t="s">
        <v>203</v>
      </c>
      <c r="AD136" s="108">
        <v>26.973330000000001</v>
      </c>
      <c r="AE136" s="101" t="str">
        <f t="shared" ref="AE136:AE199" si="71">IF(AC136=U136,"","no")</f>
        <v/>
      </c>
      <c r="AF136" s="110" t="s">
        <v>203</v>
      </c>
      <c r="AG136" s="108">
        <v>17.544730000000001</v>
      </c>
      <c r="AH136" s="101" t="str">
        <f t="shared" ref="AH136:AH199" si="72">IF(AF136=U136,"","no")</f>
        <v/>
      </c>
    </row>
    <row r="137" spans="20:34" x14ac:dyDescent="0.35">
      <c r="T137" s="111"/>
      <c r="U137" s="110" t="s">
        <v>214</v>
      </c>
      <c r="V137" s="109">
        <v>0.42066999999999999</v>
      </c>
      <c r="W137" s="109">
        <v>0.58745999999999998</v>
      </c>
      <c r="X137" s="109">
        <v>1.65022</v>
      </c>
      <c r="Y137" s="109">
        <v>4.6547499999999999</v>
      </c>
      <c r="Z137" s="108">
        <v>2.0653999999999999</v>
      </c>
      <c r="AA137" s="108">
        <v>0.69738999999999995</v>
      </c>
      <c r="AB137" s="100">
        <f t="shared" si="70"/>
        <v>6.6745293164513404</v>
      </c>
      <c r="AC137" s="110" t="s">
        <v>214</v>
      </c>
      <c r="AD137" s="108">
        <v>4.6547499999999999</v>
      </c>
      <c r="AE137" s="101" t="str">
        <f t="shared" si="71"/>
        <v/>
      </c>
      <c r="AF137" s="110" t="s">
        <v>214</v>
      </c>
      <c r="AG137" s="108">
        <v>9.3250299999999999</v>
      </c>
      <c r="AH137" s="101" t="str">
        <f t="shared" si="72"/>
        <v/>
      </c>
    </row>
    <row r="138" spans="20:34" x14ac:dyDescent="0.35">
      <c r="T138" s="111"/>
      <c r="U138" s="110" t="s">
        <v>218</v>
      </c>
      <c r="V138" s="109">
        <v>1.2483599999999999</v>
      </c>
      <c r="W138" s="109">
        <v>2.7129599999999998</v>
      </c>
      <c r="X138" s="109">
        <v>4.3742599999999996</v>
      </c>
      <c r="Y138" s="109">
        <v>3.8426999999999998</v>
      </c>
      <c r="Z138" s="108">
        <v>16.751460000000002</v>
      </c>
      <c r="AA138" s="108">
        <v>0.33828000000000003</v>
      </c>
      <c r="AB138" s="100">
        <f t="shared" si="70"/>
        <v>11.35952465413267</v>
      </c>
      <c r="AC138" s="110" t="s">
        <v>218</v>
      </c>
      <c r="AD138" s="108">
        <v>3.8426999999999998</v>
      </c>
      <c r="AE138" s="101" t="str">
        <f t="shared" si="71"/>
        <v/>
      </c>
      <c r="AF138" s="110" t="s">
        <v>218</v>
      </c>
      <c r="AG138" s="108">
        <v>2.0653999999999999</v>
      </c>
      <c r="AH138" s="101" t="str">
        <f t="shared" si="72"/>
        <v/>
      </c>
    </row>
    <row r="139" spans="20:34" x14ac:dyDescent="0.35">
      <c r="T139" s="111"/>
      <c r="U139" s="110" t="s">
        <v>221</v>
      </c>
      <c r="V139" s="109">
        <v>0.41825000000000001</v>
      </c>
      <c r="W139" s="109">
        <v>0.49889</v>
      </c>
      <c r="X139" s="109">
        <v>1.06094</v>
      </c>
      <c r="Y139" s="109">
        <v>1.4543600000000001</v>
      </c>
      <c r="Z139" s="108">
        <v>10.216189999999999</v>
      </c>
      <c r="AA139" s="108">
        <v>0.21540999999999999</v>
      </c>
      <c r="AB139" s="100">
        <f t="shared" si="70"/>
        <v>6.7515899911796113</v>
      </c>
      <c r="AC139" s="110" t="s">
        <v>221</v>
      </c>
      <c r="AD139" s="108">
        <v>1.4543600000000001</v>
      </c>
      <c r="AE139" s="101" t="str">
        <f t="shared" si="71"/>
        <v/>
      </c>
      <c r="AF139" s="110" t="s">
        <v>221</v>
      </c>
      <c r="AG139" s="108">
        <v>16.751460000000002</v>
      </c>
      <c r="AH139" s="101" t="str">
        <f t="shared" si="72"/>
        <v/>
      </c>
    </row>
    <row r="140" spans="20:34" x14ac:dyDescent="0.35">
      <c r="T140" s="111"/>
      <c r="U140" s="110" t="s">
        <v>222</v>
      </c>
      <c r="V140" s="109">
        <v>9.8100000000000007E-2</v>
      </c>
      <c r="W140" s="109">
        <v>0.29165999999999997</v>
      </c>
      <c r="X140" s="109">
        <v>0.37226999999999999</v>
      </c>
      <c r="Y140" s="109">
        <v>0.20473</v>
      </c>
      <c r="Z140" s="108">
        <v>19.711290000000002</v>
      </c>
      <c r="AA140" s="108">
        <v>0.54712000000000005</v>
      </c>
      <c r="AB140" s="100">
        <f t="shared" si="70"/>
        <v>0.37419578885802013</v>
      </c>
      <c r="AC140" s="110" t="s">
        <v>222</v>
      </c>
      <c r="AD140" s="108">
        <v>0.20473</v>
      </c>
      <c r="AE140" s="101" t="str">
        <f t="shared" si="71"/>
        <v/>
      </c>
      <c r="AF140" s="110" t="s">
        <v>222</v>
      </c>
      <c r="AG140" s="108">
        <v>10.216189999999999</v>
      </c>
      <c r="AH140" s="101" t="str">
        <f t="shared" si="72"/>
        <v/>
      </c>
    </row>
    <row r="141" spans="20:34" x14ac:dyDescent="0.35">
      <c r="T141" s="111"/>
      <c r="U141" s="110" t="s">
        <v>224</v>
      </c>
      <c r="V141" s="109">
        <v>2.2294499999999999</v>
      </c>
      <c r="W141" s="109">
        <v>3.4298299999999999</v>
      </c>
      <c r="X141" s="109">
        <v>6.8329700000000004</v>
      </c>
      <c r="Y141" s="109">
        <v>8.1262699999999999</v>
      </c>
      <c r="Z141" s="108">
        <v>0.5161</v>
      </c>
      <c r="AA141" s="108">
        <v>0.3725</v>
      </c>
      <c r="AB141" s="100">
        <f t="shared" si="70"/>
        <v>21.815489932885907</v>
      </c>
      <c r="AC141" s="110" t="s">
        <v>224</v>
      </c>
      <c r="AD141" s="108">
        <v>8.1262699999999999</v>
      </c>
      <c r="AE141" s="101" t="str">
        <f t="shared" si="71"/>
        <v/>
      </c>
      <c r="AF141" s="110" t="s">
        <v>224</v>
      </c>
      <c r="AG141" s="108">
        <v>19.711290000000002</v>
      </c>
      <c r="AH141" s="101" t="str">
        <f t="shared" si="72"/>
        <v/>
      </c>
    </row>
    <row r="142" spans="20:34" x14ac:dyDescent="0.35">
      <c r="T142" s="111"/>
      <c r="U142" s="110" t="s">
        <v>225</v>
      </c>
      <c r="V142" s="109">
        <v>0.29931999999999997</v>
      </c>
      <c r="W142" s="109">
        <v>9.6350000000000005E-2</v>
      </c>
      <c r="X142" s="109">
        <v>0.17463999999999999</v>
      </c>
      <c r="Y142" s="109">
        <v>0.42996000000000001</v>
      </c>
      <c r="Z142" s="108">
        <v>4.9500299999999999</v>
      </c>
      <c r="AA142" s="108">
        <v>0.19892000000000001</v>
      </c>
      <c r="AB142" s="100">
        <f t="shared" si="70"/>
        <v>2.1614719485220188</v>
      </c>
      <c r="AC142" s="110" t="s">
        <v>225</v>
      </c>
      <c r="AD142" s="108">
        <v>0.42996000000000001</v>
      </c>
      <c r="AE142" s="101" t="str">
        <f t="shared" si="71"/>
        <v/>
      </c>
      <c r="AF142" s="110" t="s">
        <v>225</v>
      </c>
      <c r="AG142" s="108">
        <v>0.5161</v>
      </c>
      <c r="AH142" s="101" t="str">
        <f t="shared" si="72"/>
        <v/>
      </c>
    </row>
    <row r="143" spans="20:34" x14ac:dyDescent="0.35">
      <c r="T143" s="111"/>
      <c r="U143" s="110" t="s">
        <v>226</v>
      </c>
      <c r="V143" s="109">
        <v>0.13936999999999999</v>
      </c>
      <c r="W143" s="109">
        <v>0.24628</v>
      </c>
      <c r="X143" s="109">
        <v>0.32458999999999999</v>
      </c>
      <c r="Y143" s="109">
        <v>0.29392000000000001</v>
      </c>
      <c r="Z143" s="108">
        <v>10.75895</v>
      </c>
      <c r="AA143" s="108">
        <v>0.14366999999999999</v>
      </c>
      <c r="AB143" s="100">
        <f t="shared" si="70"/>
        <v>2.0457994014060001</v>
      </c>
      <c r="AC143" s="110" t="s">
        <v>226</v>
      </c>
      <c r="AD143" s="108">
        <v>0.29392000000000001</v>
      </c>
      <c r="AE143" s="101" t="str">
        <f t="shared" si="71"/>
        <v/>
      </c>
      <c r="AF143" s="110" t="s">
        <v>226</v>
      </c>
      <c r="AG143" s="108">
        <v>4.9500299999999999</v>
      </c>
      <c r="AH143" s="101" t="str">
        <f t="shared" si="72"/>
        <v/>
      </c>
    </row>
    <row r="144" spans="20:34" x14ac:dyDescent="0.35">
      <c r="T144" s="111"/>
      <c r="U144" s="110" t="s">
        <v>227</v>
      </c>
      <c r="V144" s="109">
        <v>0.27621000000000001</v>
      </c>
      <c r="W144" s="109">
        <v>0.33962999999999999</v>
      </c>
      <c r="X144" s="109">
        <v>0.19042000000000001</v>
      </c>
      <c r="Y144" s="109">
        <v>0.28977000000000003</v>
      </c>
      <c r="Z144" s="108">
        <v>0.72189000000000003</v>
      </c>
      <c r="AA144" s="108">
        <v>4.8030000000000003E-2</v>
      </c>
      <c r="AB144" s="100">
        <f t="shared" si="70"/>
        <v>6.0331043098063715</v>
      </c>
      <c r="AC144" s="110" t="s">
        <v>227</v>
      </c>
      <c r="AD144" s="108">
        <v>0.28977000000000003</v>
      </c>
      <c r="AE144" s="101" t="str">
        <f t="shared" si="71"/>
        <v/>
      </c>
      <c r="AF144" s="110" t="s">
        <v>227</v>
      </c>
      <c r="AG144" s="108">
        <v>10.75895</v>
      </c>
      <c r="AH144" s="101" t="str">
        <f t="shared" si="72"/>
        <v/>
      </c>
    </row>
    <row r="145" spans="20:34" x14ac:dyDescent="0.35">
      <c r="T145" s="111"/>
      <c r="U145" s="110" t="s">
        <v>230</v>
      </c>
      <c r="V145" s="109">
        <v>4.1419999999999998E-2</v>
      </c>
      <c r="W145" s="109">
        <v>7.0000000000000007E-2</v>
      </c>
      <c r="X145" s="109">
        <v>9.6360000000000001E-2</v>
      </c>
      <c r="Y145" s="109">
        <v>0.14835000000000001</v>
      </c>
      <c r="Z145" s="108">
        <v>4.2439299999999998</v>
      </c>
      <c r="AA145" s="108">
        <v>0.36737999999999998</v>
      </c>
      <c r="AB145" s="100">
        <f t="shared" si="70"/>
        <v>0.40380532418748982</v>
      </c>
      <c r="AC145" s="110" t="s">
        <v>230</v>
      </c>
      <c r="AD145" s="108">
        <v>0.14835000000000001</v>
      </c>
      <c r="AE145" s="101" t="str">
        <f t="shared" si="71"/>
        <v/>
      </c>
      <c r="AF145" s="110" t="s">
        <v>230</v>
      </c>
      <c r="AG145" s="108">
        <v>0.72189000000000003</v>
      </c>
      <c r="AH145" s="101" t="str">
        <f t="shared" si="72"/>
        <v/>
      </c>
    </row>
    <row r="146" spans="20:34" x14ac:dyDescent="0.35">
      <c r="T146" s="111"/>
      <c r="U146" s="110" t="s">
        <v>553</v>
      </c>
      <c r="V146" s="109">
        <v>0.72072000000000003</v>
      </c>
      <c r="W146" s="109">
        <v>1.1416500000000001</v>
      </c>
      <c r="X146" s="109">
        <v>3.0144299999999999</v>
      </c>
      <c r="Y146" s="109">
        <v>6.8584699999999996</v>
      </c>
      <c r="Z146" s="108">
        <v>71.712869999999995</v>
      </c>
      <c r="AA146" s="108">
        <v>1.0716000000000001</v>
      </c>
      <c r="AB146" s="100">
        <f t="shared" si="70"/>
        <v>6.4002146323254934</v>
      </c>
      <c r="AC146" s="110" t="s">
        <v>553</v>
      </c>
      <c r="AD146" s="108">
        <v>6.8584699999999996</v>
      </c>
      <c r="AE146" s="101" t="str">
        <f t="shared" si="71"/>
        <v/>
      </c>
      <c r="AF146" s="110" t="s">
        <v>553</v>
      </c>
      <c r="AG146" s="108">
        <v>4.2439299999999998</v>
      </c>
      <c r="AH146" s="101" t="str">
        <f t="shared" si="72"/>
        <v/>
      </c>
    </row>
    <row r="147" spans="20:34" x14ac:dyDescent="0.35">
      <c r="T147" s="111"/>
      <c r="U147" s="110" t="s">
        <v>554</v>
      </c>
      <c r="V147" s="109">
        <v>3.3984200000000002</v>
      </c>
      <c r="W147" s="109">
        <v>3.6419700000000002</v>
      </c>
      <c r="X147" s="109">
        <v>2.69529</v>
      </c>
      <c r="Y147" s="109">
        <v>2.7204999999999999</v>
      </c>
      <c r="Z147" s="108">
        <v>21.504159999999999</v>
      </c>
      <c r="AA147" s="108">
        <v>0.30284</v>
      </c>
      <c r="AB147" s="100">
        <f t="shared" si="70"/>
        <v>8.9832915070664381</v>
      </c>
      <c r="AC147" s="110" t="s">
        <v>554</v>
      </c>
      <c r="AD147" s="108">
        <v>2.7204999999999999</v>
      </c>
      <c r="AE147" s="101" t="str">
        <f t="shared" si="71"/>
        <v/>
      </c>
      <c r="AF147" s="110" t="s">
        <v>554</v>
      </c>
      <c r="AG147" s="108">
        <v>71.712869999999995</v>
      </c>
      <c r="AH147" s="101" t="str">
        <f t="shared" si="72"/>
        <v/>
      </c>
    </row>
    <row r="148" spans="20:34" x14ac:dyDescent="0.35">
      <c r="T148" s="111"/>
      <c r="U148" s="110" t="s">
        <v>591</v>
      </c>
      <c r="V148" s="109">
        <v>4.01485</v>
      </c>
      <c r="W148" s="109">
        <v>4.6467599999999996</v>
      </c>
      <c r="X148" s="109">
        <v>7.3626399999999999</v>
      </c>
      <c r="Y148" s="109">
        <v>6.68025</v>
      </c>
      <c r="Z148" s="108">
        <v>0.75707000000000002</v>
      </c>
      <c r="AA148" s="108">
        <v>0.32906000000000002</v>
      </c>
      <c r="AB148" s="100">
        <f t="shared" si="70"/>
        <v>20.30100893454081</v>
      </c>
      <c r="AC148" s="110" t="s">
        <v>1116</v>
      </c>
      <c r="AD148" s="108">
        <v>6.68025</v>
      </c>
      <c r="AE148" s="101" t="str">
        <f t="shared" si="71"/>
        <v>no</v>
      </c>
      <c r="AF148" s="110" t="s">
        <v>1116</v>
      </c>
      <c r="AG148" s="108">
        <v>21.504159999999999</v>
      </c>
      <c r="AH148" s="101" t="str">
        <f t="shared" si="72"/>
        <v>no</v>
      </c>
    </row>
    <row r="149" spans="20:34" x14ac:dyDescent="0.35">
      <c r="T149" s="111"/>
      <c r="U149" s="110" t="s">
        <v>238</v>
      </c>
      <c r="V149" s="109">
        <v>1.4583299999999999</v>
      </c>
      <c r="W149" s="109">
        <v>1.7311399999999999</v>
      </c>
      <c r="X149" s="109">
        <v>1.85101</v>
      </c>
      <c r="Y149" s="109">
        <v>1.14975</v>
      </c>
      <c r="Z149" s="108">
        <v>82.079639999999998</v>
      </c>
      <c r="AA149" s="108">
        <v>2.5803400000000001</v>
      </c>
      <c r="AB149" s="100">
        <f t="shared" si="70"/>
        <v>0.44558081493136564</v>
      </c>
      <c r="AC149" s="110" t="s">
        <v>238</v>
      </c>
      <c r="AD149" s="108">
        <v>1.14975</v>
      </c>
      <c r="AE149" s="101" t="str">
        <f t="shared" si="71"/>
        <v/>
      </c>
      <c r="AF149" s="110" t="s">
        <v>238</v>
      </c>
      <c r="AG149" s="108">
        <v>0.75707000000000002</v>
      </c>
      <c r="AH149" s="101" t="str">
        <f t="shared" si="72"/>
        <v/>
      </c>
    </row>
    <row r="150" spans="20:34" x14ac:dyDescent="0.35">
      <c r="T150" s="111"/>
      <c r="U150" s="110" t="s">
        <v>132</v>
      </c>
      <c r="V150" s="109">
        <v>40.915469999999999</v>
      </c>
      <c r="W150" s="109">
        <v>92.633330000000001</v>
      </c>
      <c r="X150" s="109">
        <v>119.97284999999999</v>
      </c>
      <c r="Y150" s="109">
        <v>201.66730000000001</v>
      </c>
      <c r="Z150" s="108">
        <v>0.66822999999999999</v>
      </c>
      <c r="AA150" s="108">
        <v>1.5665100000000001</v>
      </c>
      <c r="AB150" s="100">
        <f t="shared" si="70"/>
        <v>128.7366821788562</v>
      </c>
      <c r="AC150" s="110" t="s">
        <v>132</v>
      </c>
      <c r="AD150" s="108">
        <v>201.66730000000001</v>
      </c>
      <c r="AE150" s="101" t="str">
        <f t="shared" si="71"/>
        <v/>
      </c>
      <c r="AF150" s="110" t="s">
        <v>132</v>
      </c>
      <c r="AG150" s="108">
        <v>82.079639999999998</v>
      </c>
      <c r="AH150" s="101" t="str">
        <f t="shared" si="72"/>
        <v/>
      </c>
    </row>
    <row r="151" spans="20:34" x14ac:dyDescent="0.35">
      <c r="T151" s="111"/>
      <c r="U151" s="110" t="s">
        <v>243</v>
      </c>
      <c r="V151" s="109">
        <v>5.5489999999999998E-2</v>
      </c>
      <c r="W151" s="109">
        <v>0.12114999999999999</v>
      </c>
      <c r="X151" s="109">
        <v>2.0536099999999999</v>
      </c>
      <c r="Y151" s="109">
        <v>5.2323300000000001</v>
      </c>
      <c r="Z151" s="108">
        <v>5.9394799999999996</v>
      </c>
      <c r="AA151" s="108">
        <v>0.65110000000000001</v>
      </c>
      <c r="AB151" s="100">
        <f t="shared" si="70"/>
        <v>8.0361388419597599</v>
      </c>
      <c r="AC151" s="110" t="s">
        <v>243</v>
      </c>
      <c r="AD151" s="108">
        <v>5.2323300000000001</v>
      </c>
      <c r="AE151" s="101" t="str">
        <f t="shared" si="71"/>
        <v/>
      </c>
      <c r="AF151" s="110" t="s">
        <v>243</v>
      </c>
      <c r="AG151" s="108">
        <v>0.66822999999999999</v>
      </c>
      <c r="AH151" s="101" t="str">
        <f t="shared" si="72"/>
        <v/>
      </c>
    </row>
    <row r="152" spans="20:34" x14ac:dyDescent="0.35">
      <c r="T152" s="111"/>
      <c r="U152" s="110" t="s">
        <v>244</v>
      </c>
      <c r="V152" s="109" t="s">
        <v>545</v>
      </c>
      <c r="W152" s="109" t="s">
        <v>545</v>
      </c>
      <c r="X152" s="109">
        <v>0.64127999999999996</v>
      </c>
      <c r="Y152" s="109">
        <v>0.62558000000000002</v>
      </c>
      <c r="Z152" s="108">
        <v>88.588759999999994</v>
      </c>
      <c r="AA152" s="108">
        <v>0.752</v>
      </c>
      <c r="AB152" s="100">
        <f t="shared" si="70"/>
        <v>0.83188829787234042</v>
      </c>
      <c r="AC152" s="110" t="s">
        <v>244</v>
      </c>
      <c r="AD152" s="108">
        <v>0.62558000000000002</v>
      </c>
      <c r="AE152" s="101" t="str">
        <f t="shared" si="71"/>
        <v/>
      </c>
      <c r="AF152" s="110" t="s">
        <v>244</v>
      </c>
      <c r="AG152" s="108">
        <v>5.9394799999999996</v>
      </c>
      <c r="AH152" s="101" t="str">
        <f t="shared" si="72"/>
        <v/>
      </c>
    </row>
    <row r="153" spans="20:34" x14ac:dyDescent="0.35">
      <c r="T153" s="111"/>
      <c r="U153" s="110" t="s">
        <v>246</v>
      </c>
      <c r="V153" s="109">
        <v>1.70001</v>
      </c>
      <c r="W153" s="109">
        <v>3.0112000000000001</v>
      </c>
      <c r="X153" s="109">
        <v>3.4579499999999999</v>
      </c>
      <c r="Y153" s="109">
        <v>6.7027700000000001</v>
      </c>
      <c r="Z153" s="108">
        <v>1.57667</v>
      </c>
      <c r="AA153" s="108">
        <v>0.33080999999999999</v>
      </c>
      <c r="AB153" s="100">
        <f t="shared" si="70"/>
        <v>20.261691000876638</v>
      </c>
      <c r="AC153" s="110" t="s">
        <v>246</v>
      </c>
      <c r="AD153" s="108">
        <v>6.7027700000000001</v>
      </c>
      <c r="AE153" s="101" t="str">
        <f t="shared" si="71"/>
        <v/>
      </c>
      <c r="AF153" s="110" t="s">
        <v>246</v>
      </c>
      <c r="AG153" s="108">
        <v>88.588759999999994</v>
      </c>
      <c r="AH153" s="101" t="str">
        <f t="shared" si="72"/>
        <v/>
      </c>
    </row>
    <row r="154" spans="20:34" x14ac:dyDescent="0.35">
      <c r="T154" s="111"/>
      <c r="U154" s="110" t="s">
        <v>249</v>
      </c>
      <c r="V154" s="109">
        <v>4.7815399999999997</v>
      </c>
      <c r="W154" s="109">
        <v>5.7155699999999996</v>
      </c>
      <c r="X154" s="109">
        <v>5.0732999999999997</v>
      </c>
      <c r="Y154" s="109">
        <v>4.7579799999999999</v>
      </c>
      <c r="Z154" s="108">
        <v>1.79786</v>
      </c>
      <c r="AA154" s="108">
        <v>0.56284999999999996</v>
      </c>
      <c r="AB154" s="100">
        <f t="shared" si="70"/>
        <v>8.4533712356755792</v>
      </c>
      <c r="AC154" s="110" t="s">
        <v>249</v>
      </c>
      <c r="AD154" s="108">
        <v>4.7579799999999999</v>
      </c>
      <c r="AE154" s="101" t="str">
        <f t="shared" si="71"/>
        <v/>
      </c>
      <c r="AF154" s="110" t="s">
        <v>249</v>
      </c>
      <c r="AG154" s="108">
        <v>1.57667</v>
      </c>
      <c r="AH154" s="101" t="str">
        <f t="shared" si="72"/>
        <v/>
      </c>
    </row>
    <row r="155" spans="20:34" x14ac:dyDescent="0.35">
      <c r="T155" s="111"/>
      <c r="U155" s="110" t="s">
        <v>250</v>
      </c>
      <c r="V155" s="109">
        <v>0.15229999999999999</v>
      </c>
      <c r="W155" s="109">
        <v>0.19286</v>
      </c>
      <c r="X155" s="109">
        <v>0.26383000000000001</v>
      </c>
      <c r="Y155" s="109">
        <v>0.42559000000000002</v>
      </c>
      <c r="Z155" s="108">
        <v>24.107859999999999</v>
      </c>
      <c r="AA155" s="108">
        <v>0.47265000000000001</v>
      </c>
      <c r="AB155" s="100">
        <f t="shared" si="70"/>
        <v>0.90043372474346772</v>
      </c>
      <c r="AC155" s="110" t="s">
        <v>250</v>
      </c>
      <c r="AD155" s="108">
        <v>0.42559000000000002</v>
      </c>
      <c r="AE155" s="101" t="str">
        <f t="shared" si="71"/>
        <v/>
      </c>
      <c r="AF155" s="110" t="s">
        <v>250</v>
      </c>
      <c r="AG155" s="108">
        <v>1.79786</v>
      </c>
      <c r="AH155" s="101" t="str">
        <f t="shared" si="72"/>
        <v/>
      </c>
    </row>
    <row r="156" spans="20:34" x14ac:dyDescent="0.35">
      <c r="T156" s="111"/>
      <c r="U156" s="110" t="s">
        <v>252</v>
      </c>
      <c r="V156" s="109">
        <v>2.2309000000000001</v>
      </c>
      <c r="W156" s="109">
        <v>3.0294500000000002</v>
      </c>
      <c r="X156" s="109">
        <v>5.3187100000000003</v>
      </c>
      <c r="Y156" s="109">
        <v>9.0053900000000002</v>
      </c>
      <c r="Z156" s="108">
        <v>10.60101</v>
      </c>
      <c r="AA156" s="108">
        <v>0.76151999999999997</v>
      </c>
      <c r="AB156" s="100">
        <f t="shared" si="70"/>
        <v>11.825546275869314</v>
      </c>
      <c r="AC156" s="110" t="s">
        <v>252</v>
      </c>
      <c r="AD156" s="108">
        <v>9.0053900000000002</v>
      </c>
      <c r="AE156" s="101" t="str">
        <f t="shared" si="71"/>
        <v/>
      </c>
      <c r="AF156" s="110" t="s">
        <v>252</v>
      </c>
      <c r="AG156" s="108">
        <v>24.107859999999999</v>
      </c>
      <c r="AH156" s="101" t="str">
        <f t="shared" si="72"/>
        <v/>
      </c>
    </row>
    <row r="157" spans="20:34" x14ac:dyDescent="0.35">
      <c r="T157" s="111"/>
      <c r="U157" s="110" t="s">
        <v>256</v>
      </c>
      <c r="V157" s="109">
        <v>0.81493000000000004</v>
      </c>
      <c r="W157" s="109">
        <v>1.4842</v>
      </c>
      <c r="X157" s="109">
        <v>1.30423</v>
      </c>
      <c r="Y157" s="109">
        <v>1.4194199999999999</v>
      </c>
      <c r="Z157" s="108">
        <v>1.5966800000000001</v>
      </c>
      <c r="AA157" s="108">
        <v>0.38438</v>
      </c>
      <c r="AB157" s="100">
        <f t="shared" si="70"/>
        <v>3.6927519642020914</v>
      </c>
      <c r="AC157" s="110" t="s">
        <v>256</v>
      </c>
      <c r="AD157" s="108">
        <v>1.4194199999999999</v>
      </c>
      <c r="AE157" s="101" t="str">
        <f t="shared" si="71"/>
        <v/>
      </c>
      <c r="AF157" s="110" t="s">
        <v>256</v>
      </c>
      <c r="AG157" s="108">
        <v>10.60101</v>
      </c>
      <c r="AH157" s="101" t="str">
        <f t="shared" si="72"/>
        <v/>
      </c>
    </row>
    <row r="158" spans="20:34" x14ac:dyDescent="0.35">
      <c r="T158" s="111"/>
      <c r="U158" s="110" t="s">
        <v>257</v>
      </c>
      <c r="V158" s="109">
        <v>8.3210000000000006E-2</v>
      </c>
      <c r="W158" s="109">
        <v>0.28216999999999998</v>
      </c>
      <c r="X158" s="109">
        <v>0.35548000000000002</v>
      </c>
      <c r="Y158" s="109">
        <v>0.45984000000000003</v>
      </c>
      <c r="Z158" s="108">
        <v>41.9435</v>
      </c>
      <c r="AA158" s="108">
        <v>1.3429500000000001</v>
      </c>
      <c r="AB158" s="100">
        <f t="shared" si="70"/>
        <v>0.34241036524070145</v>
      </c>
      <c r="AC158" s="110" t="s">
        <v>257</v>
      </c>
      <c r="AD158" s="108">
        <v>0.45984000000000003</v>
      </c>
      <c r="AE158" s="101" t="str">
        <f t="shared" si="71"/>
        <v/>
      </c>
      <c r="AF158" s="110" t="s">
        <v>257</v>
      </c>
      <c r="AG158" s="108">
        <v>1.5966800000000001</v>
      </c>
      <c r="AH158" s="101" t="str">
        <f t="shared" si="72"/>
        <v/>
      </c>
    </row>
    <row r="159" spans="20:34" x14ac:dyDescent="0.35">
      <c r="T159" s="111"/>
      <c r="U159" s="110" t="s">
        <v>268</v>
      </c>
      <c r="V159" s="109">
        <v>5.7513800000000002</v>
      </c>
      <c r="W159" s="109">
        <v>6.6622899999999996</v>
      </c>
      <c r="X159" s="109">
        <v>8.6994699999999998</v>
      </c>
      <c r="Y159" s="109">
        <v>12.62416</v>
      </c>
      <c r="Z159" s="108">
        <v>1.92489</v>
      </c>
      <c r="AA159" s="108">
        <v>0.51441000000000003</v>
      </c>
      <c r="AB159" s="100">
        <f t="shared" si="70"/>
        <v>24.541047024746796</v>
      </c>
      <c r="AC159" s="110" t="s">
        <v>268</v>
      </c>
      <c r="AD159" s="108">
        <v>12.62416</v>
      </c>
      <c r="AE159" s="101" t="str">
        <f t="shared" si="71"/>
        <v/>
      </c>
      <c r="AF159" s="110" t="s">
        <v>268</v>
      </c>
      <c r="AG159" s="108">
        <v>41.9435</v>
      </c>
      <c r="AH159" s="101" t="str">
        <f t="shared" si="72"/>
        <v/>
      </c>
    </row>
    <row r="160" spans="20:34" x14ac:dyDescent="0.35">
      <c r="T160" s="111"/>
      <c r="U160" s="110" t="s">
        <v>276</v>
      </c>
      <c r="V160" s="109">
        <v>0.14593</v>
      </c>
      <c r="W160" s="109">
        <v>0.15620999999999999</v>
      </c>
      <c r="X160" s="109">
        <v>0.21182999999999999</v>
      </c>
      <c r="Y160" s="109">
        <v>0.44561000000000001</v>
      </c>
      <c r="Z160" s="108">
        <v>3.7867600000000001</v>
      </c>
      <c r="AA160" s="108">
        <v>0.16811000000000001</v>
      </c>
      <c r="AB160" s="100">
        <f t="shared" si="70"/>
        <v>2.6507048956040689</v>
      </c>
      <c r="AC160" s="110" t="s">
        <v>276</v>
      </c>
      <c r="AD160" s="108">
        <v>0.44561000000000001</v>
      </c>
      <c r="AE160" s="101" t="str">
        <f t="shared" si="71"/>
        <v/>
      </c>
      <c r="AF160" s="110" t="s">
        <v>276</v>
      </c>
      <c r="AG160" s="108">
        <v>1.92489</v>
      </c>
      <c r="AH160" s="101" t="str">
        <f t="shared" si="72"/>
        <v/>
      </c>
    </row>
    <row r="161" spans="20:34" x14ac:dyDescent="0.35">
      <c r="T161" s="111"/>
      <c r="U161" s="110" t="s">
        <v>391</v>
      </c>
      <c r="V161" s="109">
        <v>1.8871199999999999</v>
      </c>
      <c r="W161" s="109">
        <v>0.57794000000000001</v>
      </c>
      <c r="X161" s="109">
        <v>0.44141000000000002</v>
      </c>
      <c r="Y161" s="109">
        <v>0.58796000000000004</v>
      </c>
      <c r="Z161" s="108">
        <v>5.7671599999999996</v>
      </c>
      <c r="AA161" s="108">
        <v>0.96962999999999999</v>
      </c>
      <c r="AB161" s="100">
        <f t="shared" si="70"/>
        <v>0.6063756278167961</v>
      </c>
      <c r="AC161" s="110" t="s">
        <v>391</v>
      </c>
      <c r="AD161" s="108">
        <v>0.58796000000000004</v>
      </c>
      <c r="AE161" s="101" t="str">
        <f t="shared" si="71"/>
        <v/>
      </c>
      <c r="AF161" s="110" t="s">
        <v>391</v>
      </c>
      <c r="AG161" s="108">
        <v>3.7867600000000001</v>
      </c>
      <c r="AH161" s="101" t="str">
        <f t="shared" si="72"/>
        <v/>
      </c>
    </row>
    <row r="162" spans="20:34" x14ac:dyDescent="0.35">
      <c r="T162" s="111"/>
      <c r="U162" s="110" t="s">
        <v>277</v>
      </c>
      <c r="V162" s="109">
        <v>32.442970000000003</v>
      </c>
      <c r="W162" s="109">
        <v>42.407620000000001</v>
      </c>
      <c r="X162" s="109">
        <v>41.890599999999999</v>
      </c>
      <c r="Y162" s="109">
        <v>49.669260000000001</v>
      </c>
      <c r="Z162" s="108">
        <v>21.420950000000001</v>
      </c>
      <c r="AA162" s="108">
        <v>1.10503</v>
      </c>
      <c r="AB162" s="100">
        <f t="shared" si="70"/>
        <v>44.948336244264866</v>
      </c>
      <c r="AC162" s="110" t="s">
        <v>277</v>
      </c>
      <c r="AD162" s="108">
        <v>49.669260000000001</v>
      </c>
      <c r="AE162" s="101" t="str">
        <f t="shared" si="71"/>
        <v/>
      </c>
      <c r="AF162" s="110" t="s">
        <v>277</v>
      </c>
      <c r="AG162" s="108">
        <v>5.7671599999999996</v>
      </c>
      <c r="AH162" s="101" t="str">
        <f t="shared" si="72"/>
        <v/>
      </c>
    </row>
    <row r="163" spans="20:34" x14ac:dyDescent="0.35">
      <c r="T163" s="111"/>
      <c r="U163" s="110" t="s">
        <v>281</v>
      </c>
      <c r="V163" s="109">
        <v>1.1684000000000001</v>
      </c>
      <c r="W163" s="109">
        <v>0.95828999999999998</v>
      </c>
      <c r="X163" s="109">
        <v>1.8107899999999999</v>
      </c>
      <c r="Y163" s="109">
        <v>1.84277</v>
      </c>
      <c r="Z163" s="108">
        <v>15.879250000000001</v>
      </c>
      <c r="AA163" s="108">
        <v>0.60679000000000005</v>
      </c>
      <c r="AB163" s="100">
        <f t="shared" si="70"/>
        <v>3.0369155721089665</v>
      </c>
      <c r="AC163" s="110" t="s">
        <v>281</v>
      </c>
      <c r="AD163" s="108">
        <v>1.84277</v>
      </c>
      <c r="AE163" s="101" t="str">
        <f t="shared" si="71"/>
        <v/>
      </c>
      <c r="AF163" s="110" t="s">
        <v>281</v>
      </c>
      <c r="AG163" s="108">
        <v>21.420950000000001</v>
      </c>
      <c r="AH163" s="101" t="str">
        <f t="shared" si="72"/>
        <v/>
      </c>
    </row>
    <row r="164" spans="20:34" x14ac:dyDescent="0.35">
      <c r="T164" s="111"/>
      <c r="U164" s="110" t="s">
        <v>282</v>
      </c>
      <c r="V164" s="109">
        <v>0.57584999999999997</v>
      </c>
      <c r="W164" s="109">
        <v>0.53464999999999996</v>
      </c>
      <c r="X164" s="109">
        <v>0.93681000000000003</v>
      </c>
      <c r="Y164" s="109">
        <v>0.95687</v>
      </c>
      <c r="Z164" s="108">
        <v>15.032400000000001</v>
      </c>
      <c r="AA164" s="108">
        <v>0.34081</v>
      </c>
      <c r="AB164" s="100">
        <f t="shared" si="70"/>
        <v>2.8076347525013938</v>
      </c>
      <c r="AC164" s="110" t="s">
        <v>282</v>
      </c>
      <c r="AD164" s="108">
        <v>0.95687</v>
      </c>
      <c r="AE164" s="101" t="str">
        <f t="shared" si="71"/>
        <v/>
      </c>
      <c r="AF164" s="110" t="s">
        <v>282</v>
      </c>
      <c r="AG164" s="108">
        <v>15.879250000000001</v>
      </c>
      <c r="AH164" s="101" t="str">
        <f t="shared" si="72"/>
        <v/>
      </c>
    </row>
    <row r="165" spans="20:34" x14ac:dyDescent="0.35">
      <c r="T165" s="111"/>
      <c r="U165" s="110" t="s">
        <v>285</v>
      </c>
      <c r="V165" s="109">
        <v>0.41802</v>
      </c>
      <c r="W165" s="109">
        <v>0.46804000000000001</v>
      </c>
      <c r="X165" s="109">
        <v>0.56677</v>
      </c>
      <c r="Y165" s="109">
        <v>0.74231000000000003</v>
      </c>
      <c r="Z165" s="108">
        <v>3.2816299999999998</v>
      </c>
      <c r="AA165" s="108">
        <v>0.13008</v>
      </c>
      <c r="AB165" s="100">
        <f t="shared" si="70"/>
        <v>5.706565190651907</v>
      </c>
      <c r="AC165" s="110" t="s">
        <v>285</v>
      </c>
      <c r="AD165" s="108">
        <v>0.74231000000000003</v>
      </c>
      <c r="AE165" s="101" t="str">
        <f t="shared" si="71"/>
        <v/>
      </c>
      <c r="AF165" s="110" t="s">
        <v>285</v>
      </c>
      <c r="AG165" s="108">
        <v>15.032400000000001</v>
      </c>
      <c r="AH165" s="101" t="str">
        <f t="shared" si="72"/>
        <v/>
      </c>
    </row>
    <row r="166" spans="20:34" x14ac:dyDescent="0.35">
      <c r="T166" s="111"/>
      <c r="U166" s="110" t="s">
        <v>287</v>
      </c>
      <c r="V166" s="109">
        <v>0.60772999999999999</v>
      </c>
      <c r="W166" s="109">
        <v>0.95594000000000001</v>
      </c>
      <c r="X166" s="109">
        <v>3.2435900000000002</v>
      </c>
      <c r="Y166" s="109">
        <v>1.7735300000000001</v>
      </c>
      <c r="Z166" s="108">
        <v>1.30372</v>
      </c>
      <c r="AA166" s="108">
        <v>1.3222799999999999</v>
      </c>
      <c r="AB166" s="100">
        <f t="shared" si="70"/>
        <v>1.3412666001149531</v>
      </c>
      <c r="AC166" s="110" t="s">
        <v>287</v>
      </c>
      <c r="AD166" s="108">
        <v>1.7735300000000001</v>
      </c>
      <c r="AE166" s="101" t="str">
        <f t="shared" si="71"/>
        <v/>
      </c>
      <c r="AF166" s="110" t="s">
        <v>287</v>
      </c>
      <c r="AG166" s="108">
        <v>3.2816299999999998</v>
      </c>
      <c r="AH166" s="101" t="str">
        <f t="shared" si="72"/>
        <v/>
      </c>
    </row>
    <row r="167" spans="20:34" x14ac:dyDescent="0.35">
      <c r="T167" s="111"/>
      <c r="U167" s="110" t="s">
        <v>288</v>
      </c>
      <c r="V167" s="109">
        <v>0.85421000000000002</v>
      </c>
      <c r="W167" s="109">
        <v>1.9215500000000001</v>
      </c>
      <c r="X167" s="109">
        <v>3.4897</v>
      </c>
      <c r="Y167" s="109">
        <v>5.0595400000000001</v>
      </c>
      <c r="Z167" s="108">
        <v>31.968360000000001</v>
      </c>
      <c r="AA167" s="108">
        <v>0.58475999999999995</v>
      </c>
      <c r="AB167" s="100">
        <f t="shared" si="70"/>
        <v>8.6523360010944668</v>
      </c>
      <c r="AC167" s="110" t="s">
        <v>288</v>
      </c>
      <c r="AD167" s="108">
        <v>5.0595400000000001</v>
      </c>
      <c r="AE167" s="101" t="str">
        <f t="shared" si="71"/>
        <v/>
      </c>
      <c r="AF167" s="110" t="s">
        <v>288</v>
      </c>
      <c r="AG167" s="108">
        <v>1.30372</v>
      </c>
      <c r="AH167" s="101" t="str">
        <f t="shared" si="72"/>
        <v/>
      </c>
    </row>
    <row r="168" spans="20:34" x14ac:dyDescent="0.35">
      <c r="T168" s="111"/>
      <c r="U168" s="110" t="s">
        <v>291</v>
      </c>
      <c r="V168" s="109">
        <v>16.431550000000001</v>
      </c>
      <c r="W168" s="109">
        <v>22.634499999999999</v>
      </c>
      <c r="X168" s="109">
        <v>31.198519999999998</v>
      </c>
      <c r="Y168" s="109">
        <v>43.710900000000002</v>
      </c>
      <c r="Z168" s="108">
        <v>22.94886</v>
      </c>
      <c r="AA168" s="108">
        <v>0.47136</v>
      </c>
      <c r="AB168" s="100">
        <f t="shared" si="70"/>
        <v>92.733579429735244</v>
      </c>
      <c r="AC168" s="110" t="s">
        <v>291</v>
      </c>
      <c r="AD168" s="108">
        <v>43.710900000000002</v>
      </c>
      <c r="AE168" s="101" t="str">
        <f t="shared" si="71"/>
        <v/>
      </c>
      <c r="AF168" s="110" t="s">
        <v>291</v>
      </c>
      <c r="AG168" s="108">
        <v>31.968360000000001</v>
      </c>
      <c r="AH168" s="101" t="str">
        <f t="shared" si="72"/>
        <v/>
      </c>
    </row>
    <row r="169" spans="20:34" x14ac:dyDescent="0.35">
      <c r="T169" s="111"/>
      <c r="U169" s="110" t="s">
        <v>292</v>
      </c>
      <c r="V169" s="109">
        <v>2.6213099999999998</v>
      </c>
      <c r="W169" s="109">
        <v>1.18784</v>
      </c>
      <c r="X169" s="109">
        <v>1.2908999999999999</v>
      </c>
      <c r="Y169" s="109">
        <v>3.4260000000000002</v>
      </c>
      <c r="Z169" s="108">
        <v>2.1475900000000001</v>
      </c>
      <c r="AA169" s="108">
        <v>0.29343999999999998</v>
      </c>
      <c r="AB169" s="100">
        <f t="shared" si="70"/>
        <v>11.675299890948747</v>
      </c>
      <c r="AC169" s="110" t="s">
        <v>292</v>
      </c>
      <c r="AD169" s="108">
        <v>3.4260000000000002</v>
      </c>
      <c r="AE169" s="101" t="str">
        <f t="shared" si="71"/>
        <v/>
      </c>
      <c r="AF169" s="110" t="s">
        <v>292</v>
      </c>
      <c r="AG169" s="108">
        <v>22.94886</v>
      </c>
      <c r="AH169" s="101" t="str">
        <f t="shared" si="72"/>
        <v/>
      </c>
    </row>
    <row r="170" spans="20:34" x14ac:dyDescent="0.35">
      <c r="T170" s="111"/>
      <c r="U170" s="110" t="s">
        <v>294</v>
      </c>
      <c r="V170" s="109" t="s">
        <v>545</v>
      </c>
      <c r="W170" s="109">
        <v>2.3757199999999998</v>
      </c>
      <c r="X170" s="109">
        <v>1.80901</v>
      </c>
      <c r="Y170" s="109">
        <v>3.2168299999999999</v>
      </c>
      <c r="Z170" s="108">
        <v>15.80175</v>
      </c>
      <c r="AA170" s="108">
        <v>0.43883</v>
      </c>
      <c r="AB170" s="100">
        <f t="shared" si="70"/>
        <v>7.3304696579541053</v>
      </c>
      <c r="AC170" s="110" t="s">
        <v>294</v>
      </c>
      <c r="AD170" s="108">
        <v>3.2168299999999999</v>
      </c>
      <c r="AE170" s="101" t="str">
        <f t="shared" si="71"/>
        <v/>
      </c>
      <c r="AF170" s="110" t="s">
        <v>294</v>
      </c>
      <c r="AG170" s="108">
        <v>2.1475900000000001</v>
      </c>
      <c r="AH170" s="101" t="str">
        <f t="shared" si="72"/>
        <v/>
      </c>
    </row>
    <row r="171" spans="20:34" x14ac:dyDescent="0.35">
      <c r="T171" s="111"/>
      <c r="U171" s="110" t="s">
        <v>299</v>
      </c>
      <c r="V171" s="109">
        <v>0.61026999999999998</v>
      </c>
      <c r="W171" s="109">
        <v>1.09294</v>
      </c>
      <c r="X171" s="109">
        <v>1.1244400000000001</v>
      </c>
      <c r="Y171" s="109">
        <v>1.27217</v>
      </c>
      <c r="Z171" s="108">
        <v>165.82257000000001</v>
      </c>
      <c r="AA171" s="108">
        <v>0.43719000000000002</v>
      </c>
      <c r="AB171" s="100">
        <f t="shared" si="70"/>
        <v>2.9098789999771264</v>
      </c>
      <c r="AC171" s="110" t="s">
        <v>299</v>
      </c>
      <c r="AD171" s="108">
        <v>1.27217</v>
      </c>
      <c r="AE171" s="101" t="str">
        <f t="shared" si="71"/>
        <v/>
      </c>
      <c r="AF171" s="110" t="s">
        <v>299</v>
      </c>
      <c r="AG171" s="108">
        <v>15.80175</v>
      </c>
      <c r="AH171" s="101" t="str">
        <f t="shared" si="72"/>
        <v/>
      </c>
    </row>
    <row r="172" spans="20:34" x14ac:dyDescent="0.35">
      <c r="T172" s="111"/>
      <c r="U172" s="110" t="s">
        <v>133</v>
      </c>
      <c r="V172" s="109">
        <v>69.138459999999995</v>
      </c>
      <c r="W172" s="109">
        <v>82.480419999999995</v>
      </c>
      <c r="X172" s="109">
        <v>80.752359999999996</v>
      </c>
      <c r="Y172" s="109">
        <v>75.963390000000004</v>
      </c>
      <c r="Z172" s="108">
        <v>0.83950000000000002</v>
      </c>
      <c r="AA172" s="108">
        <v>0.52505000000000002</v>
      </c>
      <c r="AB172" s="100">
        <f t="shared" si="70"/>
        <v>144.67839253404438</v>
      </c>
      <c r="AC172" s="110" t="s">
        <v>133</v>
      </c>
      <c r="AD172" s="108">
        <v>75.963390000000004</v>
      </c>
      <c r="AE172" s="101" t="str">
        <f t="shared" si="71"/>
        <v/>
      </c>
      <c r="AF172" s="110" t="s">
        <v>133</v>
      </c>
      <c r="AG172" s="108">
        <v>165.82257000000001</v>
      </c>
      <c r="AH172" s="101" t="str">
        <f t="shared" si="72"/>
        <v/>
      </c>
    </row>
    <row r="173" spans="20:34" x14ac:dyDescent="0.35">
      <c r="T173" s="111"/>
      <c r="U173" s="110" t="s">
        <v>579</v>
      </c>
      <c r="V173" s="109">
        <v>0.60026999999999997</v>
      </c>
      <c r="W173" s="109">
        <v>1.22641</v>
      </c>
      <c r="X173" s="109">
        <v>2.5100899999999999</v>
      </c>
      <c r="Y173" s="109">
        <v>3.00508</v>
      </c>
      <c r="Z173" s="108">
        <v>11.370430000000001</v>
      </c>
      <c r="AA173" s="108">
        <v>0.17766000000000001</v>
      </c>
      <c r="AB173" s="100">
        <f t="shared" si="70"/>
        <v>16.914781042440616</v>
      </c>
      <c r="AC173" s="110" t="s">
        <v>579</v>
      </c>
      <c r="AD173" s="108">
        <v>3.00508</v>
      </c>
      <c r="AE173" s="101" t="str">
        <f t="shared" si="71"/>
        <v/>
      </c>
      <c r="AF173" s="110" t="s">
        <v>579</v>
      </c>
      <c r="AG173" s="108">
        <v>0.83950000000000002</v>
      </c>
      <c r="AH173" s="101" t="str">
        <f t="shared" si="72"/>
        <v/>
      </c>
    </row>
    <row r="174" spans="20:34" x14ac:dyDescent="0.35">
      <c r="T174" s="111"/>
      <c r="U174" s="110" t="s">
        <v>310</v>
      </c>
      <c r="V174" s="109">
        <v>0.15246999999999999</v>
      </c>
      <c r="W174" s="109">
        <v>0.70279000000000003</v>
      </c>
      <c r="X174" s="109">
        <v>0.76622999999999997</v>
      </c>
      <c r="Y174" s="109">
        <v>0.86512999999999995</v>
      </c>
      <c r="Z174" s="108">
        <v>7.7000000000000002E-3</v>
      </c>
      <c r="AA174" s="108">
        <v>0.25890000000000002</v>
      </c>
      <c r="AB174" s="100">
        <f t="shared" si="70"/>
        <v>3.3415604480494396</v>
      </c>
      <c r="AC174" s="110" t="s">
        <v>310</v>
      </c>
      <c r="AD174" s="108">
        <v>0.86512999999999995</v>
      </c>
      <c r="AE174" s="101" t="str">
        <f t="shared" si="71"/>
        <v/>
      </c>
      <c r="AF174" s="110" t="s">
        <v>310</v>
      </c>
      <c r="AG174" s="108">
        <v>11.370430000000001</v>
      </c>
      <c r="AH174" s="101" t="str">
        <f t="shared" si="72"/>
        <v/>
      </c>
    </row>
    <row r="175" spans="20:34" x14ac:dyDescent="0.35">
      <c r="T175" s="111"/>
      <c r="U175" s="110" t="s">
        <v>580</v>
      </c>
      <c r="V175" s="109" t="s">
        <v>590</v>
      </c>
      <c r="W175" s="109">
        <v>6.3099999999999996E-3</v>
      </c>
      <c r="X175" s="109">
        <v>2.2239999999999999E-2</v>
      </c>
      <c r="Y175" s="109">
        <v>9.1000000000000004E-3</v>
      </c>
      <c r="Z175" s="108">
        <v>0.17951</v>
      </c>
      <c r="AA175" s="108" t="s">
        <v>590</v>
      </c>
      <c r="AB175" s="100" t="e">
        <f t="shared" si="70"/>
        <v>#VALUE!</v>
      </c>
      <c r="AC175" s="110" t="s">
        <v>580</v>
      </c>
      <c r="AD175" s="108">
        <v>9.1000000000000004E-3</v>
      </c>
      <c r="AE175" s="101" t="str">
        <f t="shared" si="71"/>
        <v/>
      </c>
      <c r="AF175" s="110" t="s">
        <v>580</v>
      </c>
      <c r="AG175" s="108">
        <v>7.7000000000000002E-3</v>
      </c>
      <c r="AH175" s="101" t="str">
        <f t="shared" si="72"/>
        <v/>
      </c>
    </row>
    <row r="176" spans="20:34" x14ac:dyDescent="0.35">
      <c r="T176" s="111"/>
      <c r="U176" s="110" t="s">
        <v>555</v>
      </c>
      <c r="V176" s="109">
        <v>3.2099999999999997E-2</v>
      </c>
      <c r="W176" s="109">
        <v>6.9269999999999998E-2</v>
      </c>
      <c r="X176" s="109">
        <v>9.2109999999999997E-2</v>
      </c>
      <c r="Y176" s="109">
        <v>0.15160999999999999</v>
      </c>
      <c r="Z176" s="108">
        <v>12.643800000000001</v>
      </c>
      <c r="AA176" s="108">
        <v>1.71784</v>
      </c>
      <c r="AB176" s="100">
        <f t="shared" si="70"/>
        <v>8.8256182182275406E-2</v>
      </c>
      <c r="AC176" s="110" t="s">
        <v>555</v>
      </c>
      <c r="AD176" s="108">
        <v>0.15160999999999999</v>
      </c>
      <c r="AE176" s="101" t="str">
        <f t="shared" si="71"/>
        <v/>
      </c>
      <c r="AF176" s="110" t="s">
        <v>555</v>
      </c>
      <c r="AG176" s="108">
        <v>0.17951</v>
      </c>
      <c r="AH176" s="101" t="str">
        <f t="shared" si="72"/>
        <v/>
      </c>
    </row>
    <row r="177" spans="20:34" x14ac:dyDescent="0.35">
      <c r="T177" s="111"/>
      <c r="U177" s="110" t="s">
        <v>313</v>
      </c>
      <c r="V177" s="109">
        <v>2.4879199999999999</v>
      </c>
      <c r="W177" s="109">
        <v>2.56006</v>
      </c>
      <c r="X177" s="109">
        <v>4.4290700000000003</v>
      </c>
      <c r="Y177" s="109">
        <v>7.0883700000000003</v>
      </c>
      <c r="Z177" s="108">
        <v>8.9190000000000005E-2</v>
      </c>
      <c r="AA177" s="108">
        <v>0.66127999999999998</v>
      </c>
      <c r="AB177" s="100">
        <f t="shared" si="70"/>
        <v>10.719165860150014</v>
      </c>
      <c r="AC177" s="110" t="s">
        <v>313</v>
      </c>
      <c r="AD177" s="108">
        <v>7.0883700000000003</v>
      </c>
      <c r="AE177" s="101" t="str">
        <f t="shared" si="71"/>
        <v/>
      </c>
      <c r="AF177" s="110" t="s">
        <v>313</v>
      </c>
      <c r="AG177" s="108">
        <v>12.643800000000001</v>
      </c>
      <c r="AH177" s="101" t="str">
        <f t="shared" si="72"/>
        <v/>
      </c>
    </row>
    <row r="178" spans="20:34" x14ac:dyDescent="0.35">
      <c r="T178" s="111"/>
      <c r="U178" s="110" t="s">
        <v>315</v>
      </c>
      <c r="V178" s="109">
        <v>0.21035999999999999</v>
      </c>
      <c r="W178" s="109">
        <v>0.45297999999999999</v>
      </c>
      <c r="X178" s="109">
        <v>0.58764000000000005</v>
      </c>
      <c r="Y178" s="109">
        <v>1.0878000000000001</v>
      </c>
      <c r="Z178" s="108">
        <v>5.3636699999999999</v>
      </c>
      <c r="AA178" s="108">
        <v>1.09154</v>
      </c>
      <c r="AB178" s="100">
        <f t="shared" si="70"/>
        <v>0.99657364824010131</v>
      </c>
      <c r="AC178" s="110" t="s">
        <v>315</v>
      </c>
      <c r="AD178" s="108">
        <v>1.0878000000000001</v>
      </c>
      <c r="AE178" s="101" t="str">
        <f t="shared" si="71"/>
        <v/>
      </c>
      <c r="AF178" s="110" t="s">
        <v>315</v>
      </c>
      <c r="AG178" s="108">
        <v>8.9190000000000005E-2</v>
      </c>
      <c r="AH178" s="101" t="str">
        <f t="shared" si="72"/>
        <v/>
      </c>
    </row>
    <row r="179" spans="20:34" x14ac:dyDescent="0.35">
      <c r="T179" s="111"/>
      <c r="U179" s="110" t="s">
        <v>316</v>
      </c>
      <c r="V179" s="109">
        <v>0.71099999999999997</v>
      </c>
      <c r="W179" s="109">
        <v>1.0657399999999999</v>
      </c>
      <c r="X179" s="109">
        <v>0.91835</v>
      </c>
      <c r="Y179" s="109">
        <v>1.49234</v>
      </c>
      <c r="Z179" s="108">
        <v>9.9256399999999996</v>
      </c>
      <c r="AA179" s="108">
        <v>0.66142999999999996</v>
      </c>
      <c r="AB179" s="100">
        <f t="shared" si="70"/>
        <v>2.2562327079207174</v>
      </c>
      <c r="AC179" s="110" t="s">
        <v>316</v>
      </c>
      <c r="AD179" s="108">
        <v>1.49234</v>
      </c>
      <c r="AE179" s="101" t="str">
        <f t="shared" si="71"/>
        <v/>
      </c>
      <c r="AF179" s="110" t="s">
        <v>316</v>
      </c>
      <c r="AG179" s="108">
        <v>5.3636699999999999</v>
      </c>
      <c r="AH179" s="101" t="str">
        <f t="shared" si="72"/>
        <v/>
      </c>
    </row>
    <row r="180" spans="20:34" x14ac:dyDescent="0.35">
      <c r="T180" s="111"/>
      <c r="U180" s="110" t="s">
        <v>392</v>
      </c>
      <c r="V180" s="109">
        <v>1.1183700000000001</v>
      </c>
      <c r="W180" s="109">
        <v>1.00807</v>
      </c>
      <c r="X180" s="109">
        <v>0.72424999999999995</v>
      </c>
      <c r="Y180" s="109">
        <v>0.75344</v>
      </c>
      <c r="Z180" s="108">
        <v>49.00403</v>
      </c>
      <c r="AA180" s="108">
        <v>0.55803000000000003</v>
      </c>
      <c r="AB180" s="100">
        <f t="shared" si="70"/>
        <v>1.3501783058258516</v>
      </c>
      <c r="AC180" s="110" t="s">
        <v>392</v>
      </c>
      <c r="AD180" s="108">
        <v>0.75344</v>
      </c>
      <c r="AE180" s="101" t="str">
        <f t="shared" si="71"/>
        <v/>
      </c>
      <c r="AF180" s="110" t="s">
        <v>392</v>
      </c>
      <c r="AG180" s="108">
        <v>9.9256399999999996</v>
      </c>
      <c r="AH180" s="101" t="str">
        <f t="shared" si="72"/>
        <v/>
      </c>
    </row>
    <row r="181" spans="20:34" x14ac:dyDescent="0.35">
      <c r="T181" s="111"/>
      <c r="U181" s="110" t="s">
        <v>134</v>
      </c>
      <c r="V181" s="109">
        <v>235.02573000000001</v>
      </c>
      <c r="W181" s="109">
        <v>297.97674999999998</v>
      </c>
      <c r="X181" s="109">
        <v>386.01434</v>
      </c>
      <c r="Y181" s="109">
        <v>461.56502999999998</v>
      </c>
      <c r="Z181" s="108">
        <v>43.697450000000003</v>
      </c>
      <c r="AA181" s="108">
        <v>1.6140099999999999</v>
      </c>
      <c r="AB181" s="100">
        <f t="shared" si="70"/>
        <v>285.97408318411908</v>
      </c>
      <c r="AC181" s="110" t="s">
        <v>134</v>
      </c>
      <c r="AD181" s="108">
        <v>461.56502999999998</v>
      </c>
      <c r="AE181" s="101" t="str">
        <f t="shared" si="71"/>
        <v/>
      </c>
      <c r="AF181" s="110" t="s">
        <v>134</v>
      </c>
      <c r="AG181" s="108">
        <v>49.00403</v>
      </c>
      <c r="AH181" s="101" t="str">
        <f t="shared" si="72"/>
        <v/>
      </c>
    </row>
    <row r="182" spans="20:34" x14ac:dyDescent="0.35">
      <c r="T182" s="111"/>
      <c r="U182" s="110" t="s">
        <v>581</v>
      </c>
      <c r="V182" s="109">
        <v>3.1630799999999999</v>
      </c>
      <c r="W182" s="109">
        <v>3.8940600000000001</v>
      </c>
      <c r="X182" s="109">
        <v>6.51119</v>
      </c>
      <c r="Y182" s="109">
        <v>18.464770000000001</v>
      </c>
      <c r="Z182" s="108">
        <v>1.37042</v>
      </c>
      <c r="AA182" s="108">
        <v>0.35360999999999998</v>
      </c>
      <c r="AB182" s="100">
        <f t="shared" si="70"/>
        <v>52.217895421509581</v>
      </c>
      <c r="AC182" s="110" t="s">
        <v>581</v>
      </c>
      <c r="AD182" s="108">
        <v>18.464770000000001</v>
      </c>
      <c r="AE182" s="101" t="str">
        <f t="shared" si="71"/>
        <v/>
      </c>
      <c r="AF182" s="110" t="s">
        <v>581</v>
      </c>
      <c r="AG182" s="108">
        <v>43.697450000000003</v>
      </c>
      <c r="AH182" s="101" t="str">
        <f t="shared" si="72"/>
        <v/>
      </c>
    </row>
    <row r="183" spans="20:34" x14ac:dyDescent="0.35">
      <c r="T183" s="111"/>
      <c r="U183" s="110" t="s">
        <v>327</v>
      </c>
      <c r="V183" s="109">
        <v>0.72975999999999996</v>
      </c>
      <c r="W183" s="109">
        <v>0.75853000000000004</v>
      </c>
      <c r="X183" s="109">
        <v>1.1649799999999999</v>
      </c>
      <c r="Y183" s="109">
        <v>1.0243599999999999</v>
      </c>
      <c r="Z183" s="108">
        <v>45.590859999999999</v>
      </c>
      <c r="AA183" s="108">
        <v>0.37480999999999998</v>
      </c>
      <c r="AB183" s="100">
        <f t="shared" si="70"/>
        <v>2.7330113924388355</v>
      </c>
      <c r="AC183" s="110" t="s">
        <v>327</v>
      </c>
      <c r="AD183" s="108">
        <v>1.0243599999999999</v>
      </c>
      <c r="AE183" s="101" t="str">
        <f t="shared" si="71"/>
        <v/>
      </c>
      <c r="AF183" s="110" t="s">
        <v>327</v>
      </c>
      <c r="AG183" s="108">
        <v>1.37042</v>
      </c>
      <c r="AH183" s="101" t="str">
        <f t="shared" si="72"/>
        <v/>
      </c>
    </row>
    <row r="184" spans="20:34" x14ac:dyDescent="0.35">
      <c r="T184" s="111"/>
      <c r="U184" s="110" t="s">
        <v>150</v>
      </c>
      <c r="V184" s="109">
        <v>1.91743</v>
      </c>
      <c r="W184" s="109">
        <v>2.8064399999999998</v>
      </c>
      <c r="X184" s="109">
        <v>2.7248800000000002</v>
      </c>
      <c r="Y184" s="109">
        <v>7.2283999999999997</v>
      </c>
      <c r="Z184" s="108">
        <v>6.7719899999999997</v>
      </c>
      <c r="AA184" s="108">
        <v>0.43220999999999998</v>
      </c>
      <c r="AB184" s="100">
        <f t="shared" si="70"/>
        <v>16.724277550264919</v>
      </c>
      <c r="AC184" s="110" t="s">
        <v>150</v>
      </c>
      <c r="AD184" s="108">
        <v>7.2283999999999997</v>
      </c>
      <c r="AE184" s="101" t="str">
        <f t="shared" si="71"/>
        <v/>
      </c>
      <c r="AF184" s="110" t="s">
        <v>150</v>
      </c>
      <c r="AG184" s="108">
        <v>45.590859999999999</v>
      </c>
      <c r="AH184" s="101" t="str">
        <f t="shared" si="72"/>
        <v/>
      </c>
    </row>
    <row r="185" spans="20:34" x14ac:dyDescent="0.35">
      <c r="T185" s="111"/>
      <c r="U185" s="110" t="s">
        <v>152</v>
      </c>
      <c r="V185" s="109">
        <v>0.58233000000000001</v>
      </c>
      <c r="W185" s="109">
        <v>0.58396000000000003</v>
      </c>
      <c r="X185" s="109">
        <v>1.4011800000000001</v>
      </c>
      <c r="Y185" s="109">
        <v>1.44472</v>
      </c>
      <c r="Z185" s="108">
        <v>10.629189999999999</v>
      </c>
      <c r="AA185" s="108">
        <v>1.3205100000000001</v>
      </c>
      <c r="AB185" s="100">
        <f t="shared" si="70"/>
        <v>1.0940621426570036</v>
      </c>
      <c r="AC185" s="110" t="s">
        <v>152</v>
      </c>
      <c r="AD185" s="108">
        <v>1.44472</v>
      </c>
      <c r="AE185" s="101" t="str">
        <f t="shared" si="71"/>
        <v/>
      </c>
      <c r="AF185" s="110" t="s">
        <v>152</v>
      </c>
      <c r="AG185" s="108">
        <v>6.7719899999999997</v>
      </c>
      <c r="AH185" s="101" t="str">
        <f t="shared" si="72"/>
        <v/>
      </c>
    </row>
    <row r="186" spans="20:34" x14ac:dyDescent="0.35">
      <c r="T186" s="111"/>
      <c r="U186" s="110" t="s">
        <v>155</v>
      </c>
      <c r="V186" s="109">
        <v>8.47987</v>
      </c>
      <c r="W186" s="109">
        <v>13.05306</v>
      </c>
      <c r="X186" s="109">
        <v>19.66527</v>
      </c>
      <c r="Y186" s="109">
        <v>20.516210000000001</v>
      </c>
      <c r="Z186" s="108">
        <v>32.560220000000001</v>
      </c>
      <c r="AA186" s="108">
        <v>0.46273999999999998</v>
      </c>
      <c r="AB186" s="100">
        <f t="shared" si="70"/>
        <v>44.33636599386265</v>
      </c>
      <c r="AC186" s="110" t="s">
        <v>155</v>
      </c>
      <c r="AD186" s="108">
        <v>20.516210000000001</v>
      </c>
      <c r="AE186" s="101" t="str">
        <f t="shared" si="71"/>
        <v/>
      </c>
      <c r="AF186" s="110" t="s">
        <v>155</v>
      </c>
      <c r="AG186" s="108">
        <v>10.629189999999999</v>
      </c>
      <c r="AH186" s="101" t="str">
        <f t="shared" si="72"/>
        <v/>
      </c>
    </row>
    <row r="187" spans="20:34" x14ac:dyDescent="0.35">
      <c r="T187" s="111"/>
      <c r="U187" s="110" t="s">
        <v>157</v>
      </c>
      <c r="V187" s="109">
        <v>0.70226999999999995</v>
      </c>
      <c r="W187" s="109">
        <v>0.84399999999999997</v>
      </c>
      <c r="X187" s="109">
        <v>1.2643</v>
      </c>
      <c r="Y187" s="109">
        <v>3.2442500000000001</v>
      </c>
      <c r="Z187" s="108">
        <v>0.50716000000000006</v>
      </c>
      <c r="AA187" s="108">
        <v>0.13577</v>
      </c>
      <c r="AB187" s="100">
        <f t="shared" si="70"/>
        <v>23.895190395521837</v>
      </c>
      <c r="AC187" s="110" t="s">
        <v>157</v>
      </c>
      <c r="AD187" s="108">
        <v>3.2442500000000001</v>
      </c>
      <c r="AE187" s="101" t="str">
        <f t="shared" si="71"/>
        <v/>
      </c>
      <c r="AF187" s="110" t="s">
        <v>157</v>
      </c>
      <c r="AG187" s="108">
        <v>32.560220000000001</v>
      </c>
      <c r="AH187" s="101" t="str">
        <f t="shared" si="72"/>
        <v/>
      </c>
    </row>
    <row r="188" spans="20:34" x14ac:dyDescent="0.35">
      <c r="T188" s="111"/>
      <c r="U188" s="110" t="s">
        <v>582</v>
      </c>
      <c r="V188" s="109">
        <v>0.15698999999999999</v>
      </c>
      <c r="W188" s="109">
        <v>0.21615999999999999</v>
      </c>
      <c r="X188" s="109">
        <v>0.26633000000000001</v>
      </c>
      <c r="Y188" s="109">
        <v>0.31664999999999999</v>
      </c>
      <c r="Z188" s="108">
        <v>13.4246</v>
      </c>
      <c r="AA188" s="108" t="s">
        <v>590</v>
      </c>
      <c r="AB188" s="100" t="e">
        <f t="shared" si="70"/>
        <v>#VALUE!</v>
      </c>
      <c r="AC188" s="110" t="s">
        <v>582</v>
      </c>
      <c r="AD188" s="108">
        <v>0.31664999999999999</v>
      </c>
      <c r="AE188" s="101" t="str">
        <f t="shared" si="71"/>
        <v/>
      </c>
      <c r="AF188" s="110" t="s">
        <v>582</v>
      </c>
      <c r="AG188" s="108">
        <v>0.50716000000000006</v>
      </c>
      <c r="AH188" s="101" t="str">
        <f t="shared" si="72"/>
        <v/>
      </c>
    </row>
    <row r="189" spans="20:34" x14ac:dyDescent="0.35">
      <c r="T189" s="111"/>
      <c r="U189" s="110" t="s">
        <v>162</v>
      </c>
      <c r="V189" s="109">
        <v>3.6300400000000002</v>
      </c>
      <c r="W189" s="109">
        <v>2.7254900000000002</v>
      </c>
      <c r="X189" s="109">
        <v>1.8966000000000001</v>
      </c>
      <c r="Y189" s="109">
        <v>2.4337300000000002</v>
      </c>
      <c r="Z189" s="108">
        <v>12.084300000000001</v>
      </c>
      <c r="AA189" s="108">
        <v>0.24631</v>
      </c>
      <c r="AB189" s="100">
        <f t="shared" si="70"/>
        <v>9.8807600178636683</v>
      </c>
      <c r="AC189" s="110" t="s">
        <v>162</v>
      </c>
      <c r="AD189" s="108">
        <v>2.4337300000000002</v>
      </c>
      <c r="AE189" s="101" t="str">
        <f t="shared" si="71"/>
        <v/>
      </c>
      <c r="AF189" s="110" t="s">
        <v>162</v>
      </c>
      <c r="AG189" s="108">
        <v>13.4246</v>
      </c>
      <c r="AH189" s="101" t="str">
        <f t="shared" si="72"/>
        <v/>
      </c>
    </row>
    <row r="190" spans="20:34" x14ac:dyDescent="0.35">
      <c r="T190" s="111"/>
      <c r="U190" s="110" t="s">
        <v>163</v>
      </c>
      <c r="V190" s="109">
        <v>8.9065399999999997</v>
      </c>
      <c r="W190" s="109">
        <v>15.141830000000001</v>
      </c>
      <c r="X190" s="109">
        <v>13.71982</v>
      </c>
      <c r="Y190" s="109">
        <v>8.8746299999999998</v>
      </c>
      <c r="Z190" s="108">
        <v>3838.9806400000002</v>
      </c>
      <c r="AA190" s="108">
        <v>2.0374099999999999</v>
      </c>
      <c r="AB190" s="100">
        <f t="shared" si="70"/>
        <v>4.3558390309265196</v>
      </c>
      <c r="AC190" s="110" t="s">
        <v>163</v>
      </c>
      <c r="AD190" s="108">
        <v>8.8746299999999998</v>
      </c>
      <c r="AE190" s="101" t="str">
        <f t="shared" si="71"/>
        <v/>
      </c>
      <c r="AF190" s="110" t="s">
        <v>163</v>
      </c>
      <c r="AG190" s="108">
        <v>12.084300000000001</v>
      </c>
      <c r="AH190" s="101" t="str">
        <f t="shared" si="72"/>
        <v/>
      </c>
    </row>
    <row r="191" spans="20:34" x14ac:dyDescent="0.35">
      <c r="T191" s="111"/>
      <c r="U191" s="110" t="s">
        <v>556</v>
      </c>
      <c r="V191" s="109">
        <v>3541.4692399999999</v>
      </c>
      <c r="W191" s="109">
        <v>5262.8836700000002</v>
      </c>
      <c r="X191" s="109">
        <v>7227.1673000000001</v>
      </c>
      <c r="Y191" s="109">
        <v>14684.386839999999</v>
      </c>
      <c r="Z191" s="108">
        <v>29.757570000000001</v>
      </c>
      <c r="AA191" s="108">
        <v>1.0262</v>
      </c>
      <c r="AB191" s="100">
        <f t="shared" si="70"/>
        <v>14309.478503215747</v>
      </c>
      <c r="AC191" s="110" t="s">
        <v>556</v>
      </c>
      <c r="AD191" s="108">
        <v>14684.386839999999</v>
      </c>
      <c r="AE191" s="101" t="str">
        <f t="shared" si="71"/>
        <v/>
      </c>
      <c r="AF191" s="110" t="s">
        <v>556</v>
      </c>
      <c r="AG191" s="108">
        <v>3838.9806400000002</v>
      </c>
      <c r="AH191" s="101" t="str">
        <f t="shared" si="72"/>
        <v/>
      </c>
    </row>
    <row r="192" spans="20:34" x14ac:dyDescent="0.35">
      <c r="T192" s="111"/>
      <c r="U192" s="110" t="s">
        <v>390</v>
      </c>
      <c r="V192" s="109">
        <v>1.3610500000000001</v>
      </c>
      <c r="W192" s="109">
        <v>6.3192899999999996</v>
      </c>
      <c r="X192" s="109">
        <v>1.33551</v>
      </c>
      <c r="Y192" s="109">
        <v>6.5891700000000002</v>
      </c>
      <c r="Z192" s="108">
        <v>5.5199999999999999E-2</v>
      </c>
      <c r="AA192" s="108">
        <v>7.1190000000000003E-2</v>
      </c>
      <c r="AB192" s="100">
        <f t="shared" si="70"/>
        <v>92.557522123893804</v>
      </c>
      <c r="AC192" s="110" t="s">
        <v>390</v>
      </c>
      <c r="AD192" s="108">
        <v>6.5891700000000002</v>
      </c>
      <c r="AE192" s="101" t="str">
        <f t="shared" si="71"/>
        <v/>
      </c>
      <c r="AF192" s="110" t="s">
        <v>390</v>
      </c>
      <c r="AG192" s="108">
        <v>29.757570000000001</v>
      </c>
      <c r="AH192" s="101" t="str">
        <f t="shared" si="72"/>
        <v/>
      </c>
    </row>
    <row r="193" spans="20:34" x14ac:dyDescent="0.35">
      <c r="T193" s="111"/>
      <c r="U193" s="110" t="s">
        <v>557</v>
      </c>
      <c r="V193" s="109">
        <v>0.40232000000000001</v>
      </c>
      <c r="W193" s="109">
        <v>0.57750000000000001</v>
      </c>
      <c r="X193" s="109">
        <v>0.56411999999999995</v>
      </c>
      <c r="Y193" s="109">
        <v>0.42623</v>
      </c>
      <c r="Z193" s="108">
        <v>21.76671</v>
      </c>
      <c r="AA193" s="108">
        <v>1.43727</v>
      </c>
      <c r="AB193" s="100">
        <f t="shared" si="70"/>
        <v>0.29655527493094547</v>
      </c>
      <c r="AC193" s="110" t="s">
        <v>557</v>
      </c>
      <c r="AD193" s="108">
        <v>0.42623</v>
      </c>
      <c r="AE193" s="101" t="str">
        <f t="shared" si="71"/>
        <v/>
      </c>
      <c r="AF193" s="110" t="s">
        <v>557</v>
      </c>
      <c r="AG193" s="108">
        <v>5.5199999999999999E-2</v>
      </c>
      <c r="AH193" s="101" t="str">
        <f t="shared" si="72"/>
        <v/>
      </c>
    </row>
    <row r="194" spans="20:34" x14ac:dyDescent="0.35">
      <c r="T194" s="111"/>
      <c r="U194" s="110" t="s">
        <v>136</v>
      </c>
      <c r="V194" s="109">
        <v>198.83496</v>
      </c>
      <c r="W194" s="109">
        <v>267.60124000000002</v>
      </c>
      <c r="X194" s="109">
        <v>356.31114000000002</v>
      </c>
      <c r="Y194" s="109">
        <v>392.28604999999999</v>
      </c>
      <c r="Z194" s="108">
        <v>158.57053999999999</v>
      </c>
      <c r="AA194" s="108">
        <v>0.48098000000000002</v>
      </c>
      <c r="AB194" s="100">
        <f t="shared" si="70"/>
        <v>815.59742608840281</v>
      </c>
      <c r="AC194" s="110" t="s">
        <v>136</v>
      </c>
      <c r="AD194" s="108">
        <v>392.28604999999999</v>
      </c>
      <c r="AE194" s="101" t="str">
        <f t="shared" si="71"/>
        <v/>
      </c>
      <c r="AF194" s="110" t="s">
        <v>136</v>
      </c>
      <c r="AG194" s="108">
        <v>21.76671</v>
      </c>
      <c r="AH194" s="101" t="str">
        <f t="shared" si="72"/>
        <v/>
      </c>
    </row>
    <row r="195" spans="20:34" x14ac:dyDescent="0.35">
      <c r="T195" s="111"/>
      <c r="U195" s="110" t="s">
        <v>210</v>
      </c>
      <c r="V195" s="109">
        <v>7.6372600000000004</v>
      </c>
      <c r="W195" s="109">
        <v>14.925560000000001</v>
      </c>
      <c r="X195" s="109">
        <v>29.359089999999998</v>
      </c>
      <c r="Y195" s="109">
        <v>58.80612</v>
      </c>
      <c r="Z195" s="108">
        <v>0.70843</v>
      </c>
      <c r="AA195" s="108">
        <v>0.73016000000000003</v>
      </c>
      <c r="AB195" s="100">
        <f t="shared" si="70"/>
        <v>80.538676454475734</v>
      </c>
      <c r="AC195" s="110" t="s">
        <v>210</v>
      </c>
      <c r="AD195" s="108">
        <v>58.80612</v>
      </c>
      <c r="AE195" s="101" t="str">
        <f t="shared" si="71"/>
        <v/>
      </c>
      <c r="AF195" s="110" t="s">
        <v>210</v>
      </c>
      <c r="AG195" s="108">
        <v>158.57053999999999</v>
      </c>
      <c r="AH195" s="101" t="str">
        <f t="shared" si="72"/>
        <v/>
      </c>
    </row>
    <row r="196" spans="20:34" x14ac:dyDescent="0.35">
      <c r="T196" s="111"/>
      <c r="U196" s="110" t="s">
        <v>215</v>
      </c>
      <c r="V196" s="109">
        <v>5.4599999999999996E-3</v>
      </c>
      <c r="W196" s="109">
        <v>0.12495000000000001</v>
      </c>
      <c r="X196" s="109">
        <v>0.29239999999999999</v>
      </c>
      <c r="Y196" s="109">
        <v>0.33567999999999998</v>
      </c>
      <c r="Z196" s="108">
        <v>0.40189000000000002</v>
      </c>
      <c r="AA196" s="108">
        <v>0.27105000000000001</v>
      </c>
      <c r="AB196" s="100">
        <f t="shared" si="70"/>
        <v>1.2384430916805016</v>
      </c>
      <c r="AC196" s="110" t="s">
        <v>215</v>
      </c>
      <c r="AD196" s="108">
        <v>0.33567999999999998</v>
      </c>
      <c r="AE196" s="101" t="str">
        <f t="shared" si="71"/>
        <v/>
      </c>
      <c r="AF196" s="110" t="s">
        <v>215</v>
      </c>
      <c r="AG196" s="108">
        <v>0.70843</v>
      </c>
      <c r="AH196" s="101" t="str">
        <f t="shared" si="72"/>
        <v/>
      </c>
    </row>
    <row r="197" spans="20:34" x14ac:dyDescent="0.35">
      <c r="T197" s="111"/>
      <c r="U197" s="110" t="s">
        <v>558</v>
      </c>
      <c r="V197" s="109">
        <v>5.2355</v>
      </c>
      <c r="W197" s="109">
        <v>4.5598200000000002</v>
      </c>
      <c r="X197" s="109">
        <v>3.79427</v>
      </c>
      <c r="Y197" s="109">
        <v>8.6562999999999999</v>
      </c>
      <c r="Z197" s="108">
        <v>53.9998</v>
      </c>
      <c r="AA197" s="108">
        <v>0.83792</v>
      </c>
      <c r="AB197" s="100">
        <f t="shared" si="70"/>
        <v>10.330699828145885</v>
      </c>
      <c r="AC197" s="110" t="s">
        <v>558</v>
      </c>
      <c r="AD197" s="108">
        <v>8.6562999999999999</v>
      </c>
      <c r="AE197" s="101" t="str">
        <f t="shared" si="71"/>
        <v/>
      </c>
      <c r="AF197" s="110" t="s">
        <v>558</v>
      </c>
      <c r="AG197" s="108">
        <v>0.40189000000000002</v>
      </c>
      <c r="AH197" s="101" t="str">
        <f t="shared" si="72"/>
        <v/>
      </c>
    </row>
    <row r="198" spans="20:34" x14ac:dyDescent="0.35">
      <c r="T198" s="111"/>
      <c r="U198" s="110" t="s">
        <v>386</v>
      </c>
      <c r="V198" s="109">
        <v>4.0127600000000001</v>
      </c>
      <c r="W198" s="109">
        <v>4.6603500000000002</v>
      </c>
      <c r="X198" s="109">
        <v>9.0074400000000008</v>
      </c>
      <c r="Y198" s="109">
        <v>13.666600000000001</v>
      </c>
      <c r="Z198" s="108">
        <v>14.70172</v>
      </c>
      <c r="AA198" s="108">
        <v>0.73880000000000001</v>
      </c>
      <c r="AB198" s="100">
        <f t="shared" si="70"/>
        <v>18.49837574445046</v>
      </c>
      <c r="AC198" s="110" t="s">
        <v>386</v>
      </c>
      <c r="AD198" s="108">
        <v>13.666600000000001</v>
      </c>
      <c r="AE198" s="101" t="str">
        <f t="shared" si="71"/>
        <v/>
      </c>
      <c r="AF198" s="110" t="s">
        <v>386</v>
      </c>
      <c r="AG198" s="108">
        <v>53.9998</v>
      </c>
      <c r="AH198" s="101" t="str">
        <f t="shared" si="72"/>
        <v/>
      </c>
    </row>
    <row r="199" spans="20:34" x14ac:dyDescent="0.35">
      <c r="T199" s="111"/>
      <c r="U199" s="110" t="s">
        <v>223</v>
      </c>
      <c r="V199" s="109">
        <v>4.0960000000000003E-2</v>
      </c>
      <c r="W199" s="109">
        <v>0.46759000000000001</v>
      </c>
      <c r="X199" s="109">
        <v>2.1515300000000002</v>
      </c>
      <c r="Y199" s="109">
        <v>4.3900300000000003</v>
      </c>
      <c r="Z199" s="108">
        <v>1336.71801</v>
      </c>
      <c r="AA199" s="108">
        <v>0.43113000000000001</v>
      </c>
      <c r="AB199" s="100">
        <f t="shared" ref="AB199:AB238" si="73">Y199/AA199</f>
        <v>10.182613132929744</v>
      </c>
      <c r="AC199" s="110" t="s">
        <v>223</v>
      </c>
      <c r="AD199" s="108">
        <v>4.3900300000000003</v>
      </c>
      <c r="AE199" s="101" t="str">
        <f t="shared" si="71"/>
        <v/>
      </c>
      <c r="AF199" s="110" t="s">
        <v>223</v>
      </c>
      <c r="AG199" s="108">
        <v>14.70172</v>
      </c>
      <c r="AH199" s="101" t="str">
        <f t="shared" si="72"/>
        <v/>
      </c>
    </row>
    <row r="200" spans="20:34" x14ac:dyDescent="0.35">
      <c r="T200" s="111"/>
      <c r="U200" s="110" t="s">
        <v>137</v>
      </c>
      <c r="V200" s="109">
        <v>1448.46396</v>
      </c>
      <c r="W200" s="109">
        <v>2269.7094099999999</v>
      </c>
      <c r="X200" s="109">
        <v>2849.7495100000001</v>
      </c>
      <c r="Y200" s="109">
        <v>8715.3072400000001</v>
      </c>
      <c r="Z200" s="108">
        <v>1.112E-2</v>
      </c>
      <c r="AA200" s="108">
        <v>2.1750099999999999</v>
      </c>
      <c r="AB200" s="100">
        <f t="shared" si="73"/>
        <v>4007.0193884166051</v>
      </c>
      <c r="AC200" s="110" t="s">
        <v>137</v>
      </c>
      <c r="AD200" s="108">
        <v>8715.3072400000001</v>
      </c>
      <c r="AE200" s="101" t="str">
        <f t="shared" ref="AE200:AE238" si="74">IF(AC200=U200,"","no")</f>
        <v/>
      </c>
      <c r="AF200" s="110" t="s">
        <v>137</v>
      </c>
      <c r="AG200" s="108">
        <v>1336.71801</v>
      </c>
      <c r="AH200" s="101" t="str">
        <f t="shared" ref="AH200:AH238" si="75">IF(AF200=U200,"","no")</f>
        <v/>
      </c>
    </row>
    <row r="201" spans="20:34" x14ac:dyDescent="0.35">
      <c r="T201" s="111"/>
      <c r="U201" s="110" t="s">
        <v>400</v>
      </c>
      <c r="V201" s="109">
        <v>2.8119999999999999E-2</v>
      </c>
      <c r="W201" s="109">
        <v>4.7379999999999999E-2</v>
      </c>
      <c r="X201" s="109">
        <v>5.7290000000000001E-2</v>
      </c>
      <c r="Y201" s="109">
        <v>7.5399999999999995E-2</v>
      </c>
      <c r="Z201" s="108">
        <v>0.88312999999999997</v>
      </c>
      <c r="AA201" s="108" t="s">
        <v>590</v>
      </c>
      <c r="AB201" s="100" t="e">
        <f t="shared" si="73"/>
        <v>#VALUE!</v>
      </c>
      <c r="AC201" s="110" t="s">
        <v>400</v>
      </c>
      <c r="AD201" s="108">
        <v>7.5399999999999995E-2</v>
      </c>
      <c r="AE201" s="101" t="str">
        <f t="shared" si="74"/>
        <v/>
      </c>
      <c r="AF201" s="110" t="s">
        <v>400</v>
      </c>
      <c r="AG201" s="108">
        <v>1.112E-2</v>
      </c>
      <c r="AH201" s="101" t="str">
        <f t="shared" si="75"/>
        <v/>
      </c>
    </row>
    <row r="202" spans="20:34" x14ac:dyDescent="0.35">
      <c r="T202" s="111"/>
      <c r="U202" s="110" t="s">
        <v>247</v>
      </c>
      <c r="V202" s="109">
        <v>1.3056300000000001</v>
      </c>
      <c r="W202" s="109">
        <v>1.0505500000000001</v>
      </c>
      <c r="X202" s="109">
        <v>1.4361900000000001</v>
      </c>
      <c r="Y202" s="109">
        <v>1.4447300000000001</v>
      </c>
      <c r="Z202" s="108">
        <v>0.27168999999999999</v>
      </c>
      <c r="AA202" s="108">
        <v>0.82833000000000001</v>
      </c>
      <c r="AB202" s="100">
        <f t="shared" si="73"/>
        <v>1.7441478637740997</v>
      </c>
      <c r="AC202" s="110" t="s">
        <v>247</v>
      </c>
      <c r="AD202" s="108">
        <v>1.4447300000000001</v>
      </c>
      <c r="AE202" s="101" t="str">
        <f t="shared" si="74"/>
        <v/>
      </c>
      <c r="AF202" s="110" t="s">
        <v>247</v>
      </c>
      <c r="AG202" s="108">
        <v>0.88312999999999997</v>
      </c>
      <c r="AH202" s="101" t="str">
        <f t="shared" si="75"/>
        <v/>
      </c>
    </row>
    <row r="203" spans="20:34" x14ac:dyDescent="0.35">
      <c r="T203" s="111"/>
      <c r="U203" s="110" t="s">
        <v>583</v>
      </c>
      <c r="V203" s="109">
        <v>0.2109</v>
      </c>
      <c r="W203" s="109">
        <v>0.92081999999999997</v>
      </c>
      <c r="X203" s="109">
        <v>0.67652000000000001</v>
      </c>
      <c r="Y203" s="109">
        <v>1.2198199999999999</v>
      </c>
      <c r="Z203" s="108">
        <v>0.15959999999999999</v>
      </c>
      <c r="AA203" s="108" t="s">
        <v>590</v>
      </c>
      <c r="AB203" s="100" t="e">
        <f t="shared" si="73"/>
        <v>#VALUE!</v>
      </c>
      <c r="AC203" s="110" t="s">
        <v>583</v>
      </c>
      <c r="AD203" s="108">
        <v>1.2198199999999999</v>
      </c>
      <c r="AE203" s="101" t="str">
        <f t="shared" si="74"/>
        <v/>
      </c>
      <c r="AF203" s="110" t="s">
        <v>583</v>
      </c>
      <c r="AG203" s="108">
        <v>0.27168999999999999</v>
      </c>
      <c r="AH203" s="101" t="str">
        <f t="shared" si="75"/>
        <v/>
      </c>
    </row>
    <row r="204" spans="20:34" x14ac:dyDescent="0.35">
      <c r="T204" s="111"/>
      <c r="U204" s="110" t="s">
        <v>584</v>
      </c>
      <c r="V204" s="109">
        <v>3.54373</v>
      </c>
      <c r="W204" s="109">
        <v>1.8356600000000001</v>
      </c>
      <c r="X204" s="109">
        <v>2.8712800000000001</v>
      </c>
      <c r="Y204" s="109">
        <v>1.10259</v>
      </c>
      <c r="Z204" s="108" t="s">
        <v>545</v>
      </c>
      <c r="AA204" s="108">
        <v>0.35952000000000001</v>
      </c>
      <c r="AB204" s="100">
        <f t="shared" si="73"/>
        <v>3.0668391188250999</v>
      </c>
      <c r="AC204" s="110" t="s">
        <v>584</v>
      </c>
      <c r="AD204" s="108">
        <v>1.10259</v>
      </c>
      <c r="AE204" s="101" t="str">
        <f t="shared" si="74"/>
        <v/>
      </c>
      <c r="AF204" s="110" t="s">
        <v>584</v>
      </c>
      <c r="AG204" s="108">
        <v>0.15959999999999999</v>
      </c>
      <c r="AH204" s="101" t="str">
        <f t="shared" si="75"/>
        <v/>
      </c>
    </row>
    <row r="205" spans="20:34" x14ac:dyDescent="0.35">
      <c r="T205" s="111"/>
      <c r="U205" s="110" t="s">
        <v>585</v>
      </c>
      <c r="V205" s="109">
        <v>6.34246</v>
      </c>
      <c r="W205" s="109" t="s">
        <v>545</v>
      </c>
      <c r="X205" s="109" t="s">
        <v>545</v>
      </c>
      <c r="Y205" s="109" t="s">
        <v>545</v>
      </c>
      <c r="Z205" s="108">
        <v>7.1225100000000001</v>
      </c>
      <c r="AA205" s="108" t="s">
        <v>545</v>
      </c>
      <c r="AB205" s="100" t="e">
        <f t="shared" si="73"/>
        <v>#VALUE!</v>
      </c>
      <c r="AC205" s="110" t="s">
        <v>585</v>
      </c>
      <c r="AD205" s="108" t="s">
        <v>545</v>
      </c>
      <c r="AE205" s="101" t="str">
        <f t="shared" si="74"/>
        <v/>
      </c>
      <c r="AF205" s="110" t="s">
        <v>585</v>
      </c>
      <c r="AG205" s="108" t="s">
        <v>545</v>
      </c>
      <c r="AH205" s="101" t="str">
        <f t="shared" si="75"/>
        <v/>
      </c>
    </row>
    <row r="206" spans="20:34" x14ac:dyDescent="0.35">
      <c r="T206" s="111"/>
      <c r="U206" s="110" t="s">
        <v>381</v>
      </c>
      <c r="V206" s="109">
        <v>18.17024</v>
      </c>
      <c r="W206" s="109">
        <v>40.055019999999999</v>
      </c>
      <c r="X206" s="109">
        <v>55.715620000000001</v>
      </c>
      <c r="Y206" s="109">
        <v>92.908749999999998</v>
      </c>
      <c r="Z206" s="108">
        <v>1189.17291</v>
      </c>
      <c r="AA206" s="108">
        <v>0.39101000000000002</v>
      </c>
      <c r="AB206" s="100">
        <f t="shared" si="73"/>
        <v>237.61220940640902</v>
      </c>
      <c r="AC206" s="110" t="s">
        <v>381</v>
      </c>
      <c r="AD206" s="108">
        <v>92.908749999999998</v>
      </c>
      <c r="AE206" s="101" t="str">
        <f t="shared" si="74"/>
        <v/>
      </c>
      <c r="AF206" s="110" t="s">
        <v>381</v>
      </c>
      <c r="AG206" s="108">
        <v>7.1225100000000001</v>
      </c>
      <c r="AH206" s="101" t="str">
        <f t="shared" si="75"/>
        <v/>
      </c>
    </row>
    <row r="207" spans="20:34" x14ac:dyDescent="0.35">
      <c r="T207" s="111"/>
      <c r="U207" s="110" t="s">
        <v>138</v>
      </c>
      <c r="V207" s="109">
        <v>291.22527000000002</v>
      </c>
      <c r="W207" s="109">
        <v>578.61869000000002</v>
      </c>
      <c r="X207" s="109">
        <v>1002.95375</v>
      </c>
      <c r="Y207" s="109">
        <v>1725.7617600000001</v>
      </c>
      <c r="Z207" s="108">
        <v>246.06515999999999</v>
      </c>
      <c r="AA207" s="108">
        <v>1.38103</v>
      </c>
      <c r="AB207" s="100">
        <f t="shared" si="73"/>
        <v>1249.6193131213661</v>
      </c>
      <c r="AC207" s="110" t="s">
        <v>138</v>
      </c>
      <c r="AD207" s="108">
        <v>1725.7617600000001</v>
      </c>
      <c r="AE207" s="101" t="str">
        <f t="shared" si="74"/>
        <v/>
      </c>
      <c r="AF207" s="110" t="s">
        <v>138</v>
      </c>
      <c r="AG207" s="108">
        <v>1189.17291</v>
      </c>
      <c r="AH207" s="101" t="str">
        <f t="shared" si="75"/>
        <v/>
      </c>
    </row>
    <row r="208" spans="20:34" x14ac:dyDescent="0.35">
      <c r="T208" s="111"/>
      <c r="U208" s="110" t="s">
        <v>139</v>
      </c>
      <c r="V208" s="109">
        <v>85.798330000000007</v>
      </c>
      <c r="W208" s="109">
        <v>155.97902999999999</v>
      </c>
      <c r="X208" s="109">
        <v>266.25842</v>
      </c>
      <c r="Y208" s="109">
        <v>426.78953999999999</v>
      </c>
      <c r="Z208" s="108">
        <v>127.46953999999999</v>
      </c>
      <c r="AA208" s="108">
        <v>1.0330900000000001</v>
      </c>
      <c r="AB208" s="100">
        <f t="shared" si="73"/>
        <v>413.11941844369801</v>
      </c>
      <c r="AC208" s="110" t="s">
        <v>139</v>
      </c>
      <c r="AD208" s="108">
        <v>426.78953999999999</v>
      </c>
      <c r="AE208" s="101" t="str">
        <f t="shared" si="74"/>
        <v/>
      </c>
      <c r="AF208" s="110" t="s">
        <v>139</v>
      </c>
      <c r="AG208" s="108">
        <v>246.06515999999999</v>
      </c>
      <c r="AH208" s="101" t="str">
        <f t="shared" si="75"/>
        <v/>
      </c>
    </row>
    <row r="209" spans="20:34" x14ac:dyDescent="0.35">
      <c r="T209" s="111"/>
      <c r="U209" s="110" t="s">
        <v>140</v>
      </c>
      <c r="V209" s="109">
        <v>947.01433999999995</v>
      </c>
      <c r="W209" s="109">
        <v>1046.9829199999999</v>
      </c>
      <c r="X209" s="109">
        <v>1201.4292700000001</v>
      </c>
      <c r="Y209" s="109">
        <v>1180.6151299999999</v>
      </c>
      <c r="Z209" s="108">
        <v>0.10074</v>
      </c>
      <c r="AA209" s="108">
        <v>0.25324000000000002</v>
      </c>
      <c r="AB209" s="100">
        <f t="shared" si="73"/>
        <v>4662.0404754383189</v>
      </c>
      <c r="AC209" s="110" t="s">
        <v>140</v>
      </c>
      <c r="AD209" s="108">
        <v>1180.6151299999999</v>
      </c>
      <c r="AE209" s="101" t="str">
        <f t="shared" si="74"/>
        <v/>
      </c>
      <c r="AF209" s="110" t="s">
        <v>140</v>
      </c>
      <c r="AG209" s="108">
        <v>127.46953999999999</v>
      </c>
      <c r="AH209" s="101" t="str">
        <f t="shared" si="75"/>
        <v/>
      </c>
    </row>
    <row r="210" spans="20:34" x14ac:dyDescent="0.35">
      <c r="T210" s="111"/>
      <c r="U210" s="110" t="s">
        <v>269</v>
      </c>
      <c r="V210" s="109">
        <v>2.2349999999999998E-2</v>
      </c>
      <c r="W210" s="109">
        <v>2.206E-2</v>
      </c>
      <c r="X210" s="109">
        <v>2.5440000000000001E-2</v>
      </c>
      <c r="Y210" s="109">
        <v>5.9339999999999997E-2</v>
      </c>
      <c r="Z210" s="108">
        <v>24.45749</v>
      </c>
      <c r="AA210" s="108">
        <v>0.39567000000000002</v>
      </c>
      <c r="AB210" s="100">
        <f t="shared" si="73"/>
        <v>0.14997346273409659</v>
      </c>
      <c r="AC210" s="110" t="s">
        <v>269</v>
      </c>
      <c r="AD210" s="108">
        <v>5.9339999999999997E-2</v>
      </c>
      <c r="AE210" s="101" t="str">
        <f t="shared" si="74"/>
        <v/>
      </c>
      <c r="AF210" s="110" t="s">
        <v>269</v>
      </c>
      <c r="AG210" s="108">
        <v>0.10074</v>
      </c>
      <c r="AH210" s="101" t="str">
        <f t="shared" si="75"/>
        <v/>
      </c>
    </row>
    <row r="211" spans="20:34" x14ac:dyDescent="0.35">
      <c r="T211" s="111"/>
      <c r="U211" s="110" t="s">
        <v>141</v>
      </c>
      <c r="V211" s="109">
        <v>110.5128</v>
      </c>
      <c r="W211" s="109">
        <v>124.17545</v>
      </c>
      <c r="X211" s="109">
        <v>69.403930000000003</v>
      </c>
      <c r="Y211" s="109">
        <v>65.960260000000005</v>
      </c>
      <c r="Z211" s="108">
        <v>48.754660000000001</v>
      </c>
      <c r="AA211" s="108">
        <v>2.3860899999999998</v>
      </c>
      <c r="AB211" s="100">
        <f t="shared" si="73"/>
        <v>27.643659711075447</v>
      </c>
      <c r="AC211" s="110" t="s">
        <v>141</v>
      </c>
      <c r="AD211" s="108">
        <v>65.960260000000005</v>
      </c>
      <c r="AE211" s="101" t="str">
        <f t="shared" si="74"/>
        <v/>
      </c>
      <c r="AF211" s="110" t="s">
        <v>141</v>
      </c>
      <c r="AG211" s="108">
        <v>24.45749</v>
      </c>
      <c r="AH211" s="101" t="str">
        <f t="shared" si="75"/>
        <v/>
      </c>
    </row>
    <row r="212" spans="20:34" x14ac:dyDescent="0.35">
      <c r="T212" s="111"/>
      <c r="U212" s="110" t="s">
        <v>142</v>
      </c>
      <c r="V212" s="109">
        <v>131.73553000000001</v>
      </c>
      <c r="W212" s="109">
        <v>242.13184000000001</v>
      </c>
      <c r="X212" s="109">
        <v>438.82654000000002</v>
      </c>
      <c r="Y212" s="109">
        <v>610.9538</v>
      </c>
      <c r="Z212" s="108">
        <v>6.4772100000000004</v>
      </c>
      <c r="AA212" s="108">
        <v>0.56994999999999996</v>
      </c>
      <c r="AB212" s="100">
        <f t="shared" si="73"/>
        <v>1071.9428020001756</v>
      </c>
      <c r="AC212" s="110" t="s">
        <v>142</v>
      </c>
      <c r="AD212" s="108">
        <v>610.9538</v>
      </c>
      <c r="AE212" s="101" t="str">
        <f t="shared" si="74"/>
        <v/>
      </c>
      <c r="AF212" s="110" t="s">
        <v>142</v>
      </c>
      <c r="AG212" s="108">
        <v>48.754660000000001</v>
      </c>
      <c r="AH212" s="101" t="str">
        <f t="shared" si="75"/>
        <v/>
      </c>
    </row>
    <row r="213" spans="20:34" x14ac:dyDescent="0.35">
      <c r="T213" s="111"/>
      <c r="U213" s="110" t="s">
        <v>559</v>
      </c>
      <c r="V213" s="109">
        <v>0.41487000000000002</v>
      </c>
      <c r="W213" s="109">
        <v>0.22453999999999999</v>
      </c>
      <c r="X213" s="109">
        <v>0.92584999999999995</v>
      </c>
      <c r="Y213" s="109">
        <v>1.4044300000000001</v>
      </c>
      <c r="Z213" s="108">
        <v>0.57299999999999995</v>
      </c>
      <c r="AA213" s="108">
        <v>0.28903000000000001</v>
      </c>
      <c r="AB213" s="100">
        <f t="shared" si="73"/>
        <v>4.8591149707642805</v>
      </c>
      <c r="AC213" s="110" t="s">
        <v>559</v>
      </c>
      <c r="AD213" s="108">
        <v>1.4044300000000001</v>
      </c>
      <c r="AE213" s="101" t="str">
        <f t="shared" si="74"/>
        <v/>
      </c>
      <c r="AF213" s="110" t="s">
        <v>559</v>
      </c>
      <c r="AG213" s="108">
        <v>6.4772100000000004</v>
      </c>
      <c r="AH213" s="101" t="str">
        <f t="shared" si="75"/>
        <v/>
      </c>
    </row>
    <row r="214" spans="20:34" x14ac:dyDescent="0.35">
      <c r="T214" s="111"/>
      <c r="U214" s="110" t="s">
        <v>586</v>
      </c>
      <c r="V214" s="109">
        <v>0.46886</v>
      </c>
      <c r="W214" s="109">
        <v>1.0904400000000001</v>
      </c>
      <c r="X214" s="109">
        <v>1.5778799999999999</v>
      </c>
      <c r="Y214" s="109">
        <v>1.80545</v>
      </c>
      <c r="Z214" s="108">
        <v>28.72861</v>
      </c>
      <c r="AA214" s="108">
        <v>0.10229000000000001</v>
      </c>
      <c r="AB214" s="100">
        <f t="shared" si="73"/>
        <v>17.650307947991006</v>
      </c>
      <c r="AC214" s="110" t="s">
        <v>586</v>
      </c>
      <c r="AD214" s="108">
        <v>1.80545</v>
      </c>
      <c r="AE214" s="101" t="str">
        <f t="shared" si="74"/>
        <v/>
      </c>
      <c r="AF214" s="110" t="s">
        <v>586</v>
      </c>
      <c r="AG214" s="108">
        <v>0.57299999999999995</v>
      </c>
      <c r="AH214" s="101" t="str">
        <f t="shared" si="75"/>
        <v/>
      </c>
    </row>
    <row r="215" spans="20:34" x14ac:dyDescent="0.35">
      <c r="T215" s="111"/>
      <c r="U215" s="110" t="s">
        <v>283</v>
      </c>
      <c r="V215" s="109">
        <v>26.330259999999999</v>
      </c>
      <c r="W215" s="109">
        <v>64.980509999999995</v>
      </c>
      <c r="X215" s="109">
        <v>117.46957</v>
      </c>
      <c r="Y215" s="109">
        <v>191.44414</v>
      </c>
      <c r="Z215" s="108">
        <v>0.39500000000000002</v>
      </c>
      <c r="AA215" s="108">
        <v>1.0642100000000001</v>
      </c>
      <c r="AB215" s="100">
        <f t="shared" si="73"/>
        <v>179.8931977711166</v>
      </c>
      <c r="AC215" s="110" t="s">
        <v>283</v>
      </c>
      <c r="AD215" s="108">
        <v>191.44414</v>
      </c>
      <c r="AE215" s="101" t="str">
        <f t="shared" si="74"/>
        <v/>
      </c>
      <c r="AF215" s="110" t="s">
        <v>283</v>
      </c>
      <c r="AG215" s="108">
        <v>28.72861</v>
      </c>
      <c r="AH215" s="101" t="str">
        <f t="shared" si="75"/>
        <v/>
      </c>
    </row>
    <row r="216" spans="20:34" x14ac:dyDescent="0.35">
      <c r="T216" s="111"/>
      <c r="U216" s="110" t="s">
        <v>284</v>
      </c>
      <c r="V216" s="109">
        <v>1.406E-2</v>
      </c>
      <c r="W216" s="109">
        <v>9.7659999999999997E-2</v>
      </c>
      <c r="X216" s="109">
        <v>0.48319000000000001</v>
      </c>
      <c r="Y216" s="109">
        <v>1.07077</v>
      </c>
      <c r="Z216" s="108">
        <v>3.1333199999999999</v>
      </c>
      <c r="AA216" s="108">
        <v>0.90932999999999997</v>
      </c>
      <c r="AB216" s="100">
        <f t="shared" si="73"/>
        <v>1.177537307688078</v>
      </c>
      <c r="AC216" s="110" t="s">
        <v>284</v>
      </c>
      <c r="AD216" s="108">
        <v>1.07077</v>
      </c>
      <c r="AE216" s="101" t="str">
        <f t="shared" si="74"/>
        <v/>
      </c>
      <c r="AF216" s="110" t="s">
        <v>284</v>
      </c>
      <c r="AG216" s="108">
        <v>0.39500000000000002</v>
      </c>
      <c r="AH216" s="101" t="str">
        <f t="shared" si="75"/>
        <v/>
      </c>
    </row>
    <row r="217" spans="20:34" x14ac:dyDescent="0.35">
      <c r="T217" s="111"/>
      <c r="U217" s="110" t="s">
        <v>290</v>
      </c>
      <c r="V217" s="109">
        <v>7.1029999999999998</v>
      </c>
      <c r="W217" s="109">
        <v>9.5842299999999998</v>
      </c>
      <c r="X217" s="109">
        <v>5.6168399999999998</v>
      </c>
      <c r="Y217" s="109">
        <v>10.211650000000001</v>
      </c>
      <c r="Z217" s="108">
        <v>9.3200000000000002E-3</v>
      </c>
      <c r="AA217" s="108">
        <v>2.9049700000000001</v>
      </c>
      <c r="AB217" s="100">
        <f t="shared" si="73"/>
        <v>3.5152342364981397</v>
      </c>
      <c r="AC217" s="110" t="s">
        <v>290</v>
      </c>
      <c r="AD217" s="108">
        <v>10.211650000000001</v>
      </c>
      <c r="AE217" s="101" t="str">
        <f t="shared" si="74"/>
        <v/>
      </c>
      <c r="AF217" s="110" t="s">
        <v>290</v>
      </c>
      <c r="AG217" s="108">
        <v>3.1333199999999999</v>
      </c>
      <c r="AH217" s="101" t="str">
        <f t="shared" si="75"/>
        <v/>
      </c>
    </row>
    <row r="218" spans="20:34" x14ac:dyDescent="0.35">
      <c r="T218" s="111"/>
      <c r="U218" s="110" t="s">
        <v>396</v>
      </c>
      <c r="V218" s="109">
        <v>0.12620999999999999</v>
      </c>
      <c r="W218" s="109">
        <v>0.15526999999999999</v>
      </c>
      <c r="X218" s="109">
        <v>0.16320000000000001</v>
      </c>
      <c r="Y218" s="109">
        <v>0.16875999999999999</v>
      </c>
      <c r="Z218" s="108">
        <v>29.39188</v>
      </c>
      <c r="AA218" s="108" t="s">
        <v>590</v>
      </c>
      <c r="AB218" s="100" t="e">
        <f t="shared" si="73"/>
        <v>#VALUE!</v>
      </c>
      <c r="AC218" s="110" t="s">
        <v>396</v>
      </c>
      <c r="AD218" s="108">
        <v>0.16875999999999999</v>
      </c>
      <c r="AE218" s="101" t="str">
        <f t="shared" si="74"/>
        <v/>
      </c>
      <c r="AF218" s="110" t="s">
        <v>396</v>
      </c>
      <c r="AG218" s="108">
        <v>9.3200000000000002E-3</v>
      </c>
      <c r="AH218" s="101" t="str">
        <f t="shared" si="75"/>
        <v/>
      </c>
    </row>
    <row r="219" spans="20:34" x14ac:dyDescent="0.35">
      <c r="T219" s="111"/>
      <c r="U219" s="110" t="s">
        <v>295</v>
      </c>
      <c r="V219" s="109">
        <v>0.47667999999999999</v>
      </c>
      <c r="W219" s="109">
        <v>0.62941999999999998</v>
      </c>
      <c r="X219" s="109">
        <v>3.0981999999999998</v>
      </c>
      <c r="Y219" s="109">
        <v>3.1729099999999999</v>
      </c>
      <c r="Z219" s="108">
        <v>0.25627</v>
      </c>
      <c r="AA219" s="108">
        <v>0.33248</v>
      </c>
      <c r="AB219" s="100">
        <f t="shared" si="73"/>
        <v>9.543160490856593</v>
      </c>
      <c r="AC219" s="110" t="s">
        <v>295</v>
      </c>
      <c r="AD219" s="108">
        <v>3.1729099999999999</v>
      </c>
      <c r="AE219" s="101" t="str">
        <f t="shared" si="74"/>
        <v/>
      </c>
      <c r="AF219" s="110" t="s">
        <v>295</v>
      </c>
      <c r="AG219" s="108">
        <v>29.39188</v>
      </c>
      <c r="AH219" s="101" t="str">
        <f t="shared" si="75"/>
        <v/>
      </c>
    </row>
    <row r="220" spans="20:34" x14ac:dyDescent="0.35">
      <c r="T220" s="111"/>
      <c r="U220" s="110" t="s">
        <v>587</v>
      </c>
      <c r="V220" s="109">
        <v>1.7201900000000001</v>
      </c>
      <c r="W220" s="109">
        <v>1.5630999999999999</v>
      </c>
      <c r="X220" s="109">
        <v>1.99916</v>
      </c>
      <c r="Y220" s="109">
        <v>3.0263900000000001</v>
      </c>
      <c r="Z220" s="108">
        <v>4.2903500000000001</v>
      </c>
      <c r="AA220" s="108" t="s">
        <v>590</v>
      </c>
      <c r="AB220" s="100" t="e">
        <f t="shared" si="73"/>
        <v>#VALUE!</v>
      </c>
      <c r="AC220" s="110" t="s">
        <v>587</v>
      </c>
      <c r="AD220" s="108">
        <v>3.0263900000000001</v>
      </c>
      <c r="AE220" s="101" t="str">
        <f t="shared" si="74"/>
        <v/>
      </c>
      <c r="AF220" s="110" t="s">
        <v>587</v>
      </c>
      <c r="AG220" s="108">
        <v>0.25627</v>
      </c>
      <c r="AH220" s="101" t="str">
        <f t="shared" si="75"/>
        <v/>
      </c>
    </row>
    <row r="221" spans="20:34" x14ac:dyDescent="0.35">
      <c r="T221" s="111"/>
      <c r="U221" s="110" t="s">
        <v>297</v>
      </c>
      <c r="V221" s="109">
        <v>20.040179999999999</v>
      </c>
      <c r="W221" s="109">
        <v>28.8263</v>
      </c>
      <c r="X221" s="109">
        <v>36.030500000000004</v>
      </c>
      <c r="Y221" s="109">
        <v>37.169289999999997</v>
      </c>
      <c r="Z221" s="108">
        <v>1.4E-3</v>
      </c>
      <c r="AA221" s="108">
        <v>0.33255000000000001</v>
      </c>
      <c r="AB221" s="100">
        <f t="shared" si="73"/>
        <v>111.77053074725603</v>
      </c>
      <c r="AC221" s="110" t="s">
        <v>297</v>
      </c>
      <c r="AD221" s="108">
        <v>37.169289999999997</v>
      </c>
      <c r="AE221" s="101" t="str">
        <f t="shared" si="74"/>
        <v/>
      </c>
      <c r="AF221" s="110" t="s">
        <v>297</v>
      </c>
      <c r="AG221" s="108">
        <v>4.2903500000000001</v>
      </c>
      <c r="AH221" s="101" t="str">
        <f t="shared" si="75"/>
        <v/>
      </c>
    </row>
    <row r="222" spans="20:34" x14ac:dyDescent="0.35">
      <c r="T222" s="111"/>
      <c r="U222" s="110" t="s">
        <v>401</v>
      </c>
      <c r="V222" s="109">
        <v>2.81E-3</v>
      </c>
      <c r="W222" s="109">
        <v>3.15E-3</v>
      </c>
      <c r="X222" s="109">
        <v>3.1800000000000001E-3</v>
      </c>
      <c r="Y222" s="109">
        <v>3.0500000000000002E-3</v>
      </c>
      <c r="Z222" s="108">
        <v>187.34272000000001</v>
      </c>
      <c r="AA222" s="108" t="s">
        <v>590</v>
      </c>
      <c r="AB222" s="100" t="e">
        <f t="shared" si="73"/>
        <v>#VALUE!</v>
      </c>
      <c r="AC222" s="110" t="s">
        <v>401</v>
      </c>
      <c r="AD222" s="108">
        <v>3.0500000000000002E-3</v>
      </c>
      <c r="AE222" s="101" t="str">
        <f t="shared" si="74"/>
        <v/>
      </c>
      <c r="AF222" s="110" t="s">
        <v>401</v>
      </c>
      <c r="AG222" s="108">
        <v>1.4E-3</v>
      </c>
      <c r="AH222" s="101" t="str">
        <f t="shared" si="75"/>
        <v/>
      </c>
    </row>
    <row r="223" spans="20:34" x14ac:dyDescent="0.35">
      <c r="T223" s="111"/>
      <c r="U223" s="110" t="s">
        <v>302</v>
      </c>
      <c r="V223" s="109">
        <v>33.67436</v>
      </c>
      <c r="W223" s="109">
        <v>66.983680000000007</v>
      </c>
      <c r="X223" s="109">
        <v>108.99674</v>
      </c>
      <c r="Y223" s="109">
        <v>139.66443000000001</v>
      </c>
      <c r="Z223" s="108">
        <v>6.1875900000000001</v>
      </c>
      <c r="AA223" s="108">
        <v>1.1198900000000001</v>
      </c>
      <c r="AB223" s="100">
        <f t="shared" si="73"/>
        <v>124.71263249069105</v>
      </c>
      <c r="AC223" s="110" t="s">
        <v>302</v>
      </c>
      <c r="AD223" s="108">
        <v>139.66443000000001</v>
      </c>
      <c r="AE223" s="101" t="str">
        <f t="shared" si="74"/>
        <v/>
      </c>
      <c r="AF223" s="110" t="s">
        <v>302</v>
      </c>
      <c r="AG223" s="108">
        <v>187.34272000000001</v>
      </c>
      <c r="AH223" s="101" t="str">
        <f t="shared" si="75"/>
        <v/>
      </c>
    </row>
    <row r="224" spans="20:34" x14ac:dyDescent="0.35">
      <c r="T224" s="111"/>
      <c r="U224" s="110" t="s">
        <v>304</v>
      </c>
      <c r="V224" s="109">
        <v>1.7193099999999999</v>
      </c>
      <c r="W224" s="109">
        <v>2.4649200000000002</v>
      </c>
      <c r="X224" s="109">
        <v>2.5995900000000001</v>
      </c>
      <c r="Y224" s="109">
        <v>3.2786200000000001</v>
      </c>
      <c r="Z224" s="108">
        <v>101.83394</v>
      </c>
      <c r="AA224" s="108">
        <v>0.83611999999999997</v>
      </c>
      <c r="AB224" s="100">
        <f t="shared" si="73"/>
        <v>3.9212314021910735</v>
      </c>
      <c r="AC224" s="110" t="s">
        <v>304</v>
      </c>
      <c r="AD224" s="108">
        <v>3.2786200000000001</v>
      </c>
      <c r="AE224" s="101" t="str">
        <f t="shared" si="74"/>
        <v/>
      </c>
      <c r="AF224" s="110" t="s">
        <v>304</v>
      </c>
      <c r="AG224" s="108">
        <v>6.1875900000000001</v>
      </c>
      <c r="AH224" s="101" t="str">
        <f t="shared" si="75"/>
        <v/>
      </c>
    </row>
    <row r="225" spans="20:34" x14ac:dyDescent="0.35">
      <c r="T225" s="111"/>
      <c r="U225" s="110" t="s">
        <v>307</v>
      </c>
      <c r="V225" s="109">
        <v>33.863759999999999</v>
      </c>
      <c r="W225" s="109">
        <v>41.391100000000002</v>
      </c>
      <c r="X225" s="109">
        <v>70.878290000000007</v>
      </c>
      <c r="Y225" s="109">
        <v>81.150549999999996</v>
      </c>
      <c r="Z225" s="108">
        <v>0.19316</v>
      </c>
      <c r="AA225" s="108">
        <v>0.68686000000000003</v>
      </c>
      <c r="AB225" s="100">
        <f t="shared" si="73"/>
        <v>118.14714789039978</v>
      </c>
      <c r="AC225" s="110" t="s">
        <v>307</v>
      </c>
      <c r="AD225" s="108">
        <v>81.150549999999996</v>
      </c>
      <c r="AE225" s="101" t="str">
        <f t="shared" si="74"/>
        <v/>
      </c>
      <c r="AF225" s="110" t="s">
        <v>307</v>
      </c>
      <c r="AG225" s="108">
        <v>101.83394</v>
      </c>
      <c r="AH225" s="101" t="str">
        <f t="shared" si="75"/>
        <v/>
      </c>
    </row>
    <row r="226" spans="20:34" x14ac:dyDescent="0.35">
      <c r="T226" s="111"/>
      <c r="U226" s="110" t="s">
        <v>311</v>
      </c>
      <c r="V226" s="109">
        <v>9.2899999999999996E-2</v>
      </c>
      <c r="W226" s="109">
        <v>0.12911</v>
      </c>
      <c r="X226" s="109">
        <v>0.14294999999999999</v>
      </c>
      <c r="Y226" s="109">
        <v>0.14656</v>
      </c>
      <c r="Z226" s="108">
        <v>5.2467899999999998</v>
      </c>
      <c r="AA226" s="108">
        <v>0.36534</v>
      </c>
      <c r="AB226" s="100">
        <f t="shared" si="73"/>
        <v>0.40116056276345319</v>
      </c>
      <c r="AC226" s="110" t="s">
        <v>311</v>
      </c>
      <c r="AD226" s="108">
        <v>0.14656</v>
      </c>
      <c r="AE226" s="101" t="str">
        <f t="shared" si="74"/>
        <v/>
      </c>
      <c r="AF226" s="110" t="s">
        <v>311</v>
      </c>
      <c r="AG226" s="108">
        <v>0.19316</v>
      </c>
      <c r="AH226" s="101" t="str">
        <f t="shared" si="75"/>
        <v/>
      </c>
    </row>
    <row r="227" spans="20:34" x14ac:dyDescent="0.35">
      <c r="T227" s="111"/>
      <c r="U227" s="110" t="s">
        <v>317</v>
      </c>
      <c r="V227" s="109">
        <v>29.413900000000002</v>
      </c>
      <c r="W227" s="109">
        <v>57.732709999999997</v>
      </c>
      <c r="X227" s="109">
        <v>107.64434</v>
      </c>
      <c r="Y227" s="109">
        <v>212.39236</v>
      </c>
      <c r="Z227" s="108">
        <v>0.57189000000000001</v>
      </c>
      <c r="AA227" s="108">
        <v>1.0119100000000001</v>
      </c>
      <c r="AB227" s="100">
        <f t="shared" si="73"/>
        <v>209.89253985038192</v>
      </c>
      <c r="AC227" s="110" t="s">
        <v>317</v>
      </c>
      <c r="AD227" s="108">
        <v>212.39236</v>
      </c>
      <c r="AE227" s="101" t="str">
        <f t="shared" si="74"/>
        <v/>
      </c>
      <c r="AF227" s="110" t="s">
        <v>317</v>
      </c>
      <c r="AG227" s="108">
        <v>5.2467899999999998</v>
      </c>
      <c r="AH227" s="101" t="str">
        <f t="shared" si="75"/>
        <v/>
      </c>
    </row>
    <row r="228" spans="20:34" x14ac:dyDescent="0.35">
      <c r="T228" s="111"/>
      <c r="U228" s="110" t="s">
        <v>320</v>
      </c>
      <c r="V228" s="109">
        <v>9.7680000000000003E-2</v>
      </c>
      <c r="W228" s="109">
        <v>0.17388999999999999</v>
      </c>
      <c r="X228" s="109">
        <v>0.17791999999999999</v>
      </c>
      <c r="Y228" s="109">
        <v>0.20324</v>
      </c>
      <c r="Z228" s="108">
        <v>21.283909999999999</v>
      </c>
      <c r="AA228" s="108">
        <v>0.67508000000000001</v>
      </c>
      <c r="AB228" s="100">
        <f t="shared" si="73"/>
        <v>0.30106061503821768</v>
      </c>
      <c r="AC228" s="110" t="s">
        <v>320</v>
      </c>
      <c r="AD228" s="108">
        <v>0.20324</v>
      </c>
      <c r="AE228" s="101" t="str">
        <f t="shared" si="74"/>
        <v/>
      </c>
      <c r="AF228" s="110" t="s">
        <v>320</v>
      </c>
      <c r="AG228" s="108">
        <v>0.57189000000000001</v>
      </c>
      <c r="AH228" s="101" t="str">
        <f t="shared" si="75"/>
        <v/>
      </c>
    </row>
    <row r="229" spans="20:34" x14ac:dyDescent="0.35">
      <c r="T229" s="111"/>
      <c r="U229" s="110" t="s">
        <v>321</v>
      </c>
      <c r="V229" s="109">
        <v>4.8785600000000002</v>
      </c>
      <c r="W229" s="109">
        <v>5.2606799999999998</v>
      </c>
      <c r="X229" s="109">
        <v>11.3287</v>
      </c>
      <c r="Y229" s="109">
        <v>13.098050000000001</v>
      </c>
      <c r="Z229" s="108">
        <v>23.17427</v>
      </c>
      <c r="AA229" s="108">
        <v>0.42703000000000002</v>
      </c>
      <c r="AB229" s="100">
        <f t="shared" si="73"/>
        <v>30.672435191906892</v>
      </c>
      <c r="AC229" s="110" t="s">
        <v>321</v>
      </c>
      <c r="AD229" s="108">
        <v>13.098050000000001</v>
      </c>
      <c r="AE229" s="101" t="str">
        <f t="shared" si="74"/>
        <v/>
      </c>
      <c r="AF229" s="110" t="s">
        <v>321</v>
      </c>
      <c r="AG229" s="108">
        <v>21.283909999999999</v>
      </c>
      <c r="AH229" s="101" t="str">
        <f t="shared" si="75"/>
        <v/>
      </c>
    </row>
    <row r="230" spans="20:34" x14ac:dyDescent="0.35">
      <c r="T230" s="111"/>
      <c r="U230" s="110" t="s">
        <v>143</v>
      </c>
      <c r="V230" s="109">
        <v>70.637069999999994</v>
      </c>
      <c r="W230" s="109">
        <v>118.31089</v>
      </c>
      <c r="X230" s="109">
        <v>256.12684999999999</v>
      </c>
      <c r="Y230" s="109">
        <v>293.25528000000003</v>
      </c>
      <c r="Z230" s="108">
        <v>66.720150000000004</v>
      </c>
      <c r="AA230" s="108">
        <v>0.68823000000000001</v>
      </c>
      <c r="AB230" s="100">
        <f t="shared" si="73"/>
        <v>426.10069308225451</v>
      </c>
      <c r="AC230" s="110" t="s">
        <v>143</v>
      </c>
      <c r="AD230" s="108">
        <v>293.25528000000003</v>
      </c>
      <c r="AE230" s="101" t="str">
        <f t="shared" si="74"/>
        <v/>
      </c>
      <c r="AF230" s="110" t="s">
        <v>143</v>
      </c>
      <c r="AG230" s="108">
        <v>23.17427</v>
      </c>
      <c r="AH230" s="101" t="str">
        <f t="shared" si="75"/>
        <v/>
      </c>
    </row>
    <row r="231" spans="20:34" x14ac:dyDescent="0.35">
      <c r="T231" s="111"/>
      <c r="U231" s="110" t="s">
        <v>144</v>
      </c>
      <c r="V231" s="109">
        <v>33.56324</v>
      </c>
      <c r="W231" s="109">
        <v>83.928479999999993</v>
      </c>
      <c r="X231" s="109">
        <v>161.75206</v>
      </c>
      <c r="Y231" s="109">
        <v>269.62279000000001</v>
      </c>
      <c r="Z231" s="108">
        <v>1.1154200000000001</v>
      </c>
      <c r="AA231" s="108">
        <v>1.32959</v>
      </c>
      <c r="AB231" s="100">
        <f t="shared" si="73"/>
        <v>202.78641536112636</v>
      </c>
      <c r="AC231" s="110" t="s">
        <v>144</v>
      </c>
      <c r="AD231" s="108">
        <v>269.62279000000001</v>
      </c>
      <c r="AE231" s="101" t="str">
        <f t="shared" si="74"/>
        <v/>
      </c>
      <c r="AF231" s="110" t="s">
        <v>144</v>
      </c>
      <c r="AG231" s="108">
        <v>66.720150000000004</v>
      </c>
      <c r="AH231" s="101" t="str">
        <f t="shared" si="75"/>
        <v/>
      </c>
    </row>
    <row r="232" spans="20:34" x14ac:dyDescent="0.35">
      <c r="U232" s="110" t="s">
        <v>560</v>
      </c>
      <c r="V232" s="109" t="s">
        <v>545</v>
      </c>
      <c r="W232" s="109" t="s">
        <v>545</v>
      </c>
      <c r="X232" s="109" t="s">
        <v>545</v>
      </c>
      <c r="Y232" s="109">
        <v>0.21113000000000001</v>
      </c>
      <c r="Z232" s="108">
        <v>0.10592</v>
      </c>
      <c r="AA232" s="108">
        <v>0.93296999999999997</v>
      </c>
      <c r="AB232" s="100">
        <f t="shared" si="73"/>
        <v>0.22629880917928769</v>
      </c>
      <c r="AC232" s="110" t="s">
        <v>560</v>
      </c>
      <c r="AD232" s="108">
        <v>0.21113000000000001</v>
      </c>
      <c r="AE232" s="101" t="str">
        <f t="shared" si="74"/>
        <v/>
      </c>
      <c r="AF232" s="110" t="s">
        <v>560</v>
      </c>
      <c r="AG232" s="108">
        <v>1.1154200000000001</v>
      </c>
      <c r="AH232" s="101" t="str">
        <f t="shared" si="75"/>
        <v/>
      </c>
    </row>
    <row r="233" spans="20:34" x14ac:dyDescent="0.35">
      <c r="U233" s="110" t="s">
        <v>153</v>
      </c>
      <c r="V233" s="109">
        <v>2.911E-2</v>
      </c>
      <c r="W233" s="109">
        <v>8.7429999999999994E-2</v>
      </c>
      <c r="X233" s="109">
        <v>0.13175000000000001</v>
      </c>
      <c r="Y233" s="109">
        <v>0.15459999999999999</v>
      </c>
      <c r="Z233" s="108" t="s">
        <v>590</v>
      </c>
      <c r="AA233" s="108">
        <v>0.59545000000000003</v>
      </c>
      <c r="AB233" s="100">
        <f t="shared" si="73"/>
        <v>0.25963556973717355</v>
      </c>
      <c r="AC233" s="110" t="s">
        <v>153</v>
      </c>
      <c r="AD233" s="108">
        <v>0.15459999999999999</v>
      </c>
      <c r="AE233" s="101" t="str">
        <f t="shared" si="74"/>
        <v/>
      </c>
      <c r="AF233" s="110" t="s">
        <v>153</v>
      </c>
      <c r="AG233" s="108">
        <v>0.10592</v>
      </c>
      <c r="AH233" s="101" t="str">
        <f t="shared" si="75"/>
        <v/>
      </c>
    </row>
    <row r="234" spans="20:34" x14ac:dyDescent="0.35">
      <c r="U234" s="110" t="s">
        <v>588</v>
      </c>
      <c r="V234" s="109">
        <v>0.14735999999999999</v>
      </c>
      <c r="W234" s="109">
        <v>0.28904999999999997</v>
      </c>
      <c r="X234" s="109">
        <v>0.29719000000000001</v>
      </c>
      <c r="Y234" s="109">
        <v>0.29275000000000001</v>
      </c>
      <c r="Z234" s="108">
        <v>0.25072</v>
      </c>
      <c r="AA234" s="108" t="s">
        <v>590</v>
      </c>
      <c r="AB234" s="100" t="e">
        <f t="shared" si="73"/>
        <v>#VALUE!</v>
      </c>
      <c r="AC234" s="110" t="s">
        <v>588</v>
      </c>
      <c r="AD234" s="108">
        <v>0.29275000000000001</v>
      </c>
      <c r="AE234" s="101" t="str">
        <f t="shared" si="74"/>
        <v/>
      </c>
      <c r="AF234" s="110" t="s">
        <v>588</v>
      </c>
      <c r="AG234" s="108" t="s">
        <v>590</v>
      </c>
      <c r="AH234" s="101" t="str">
        <f t="shared" si="75"/>
        <v/>
      </c>
    </row>
    <row r="235" spans="20:34" x14ac:dyDescent="0.35">
      <c r="U235" s="110" t="s">
        <v>159</v>
      </c>
      <c r="V235" s="109">
        <v>0.11663</v>
      </c>
      <c r="W235" s="109">
        <v>0.13053999999999999</v>
      </c>
      <c r="X235" s="109">
        <v>8.4239999999999995E-2</v>
      </c>
      <c r="Y235" s="109">
        <v>0.14896000000000001</v>
      </c>
      <c r="Z235" s="108">
        <v>90.549390000000002</v>
      </c>
      <c r="AA235" s="108">
        <v>0.27556000000000003</v>
      </c>
      <c r="AB235" s="100">
        <f t="shared" si="73"/>
        <v>0.54057192625925388</v>
      </c>
      <c r="AC235" s="110" t="s">
        <v>159</v>
      </c>
      <c r="AD235" s="108">
        <v>0.14896000000000001</v>
      </c>
      <c r="AE235" s="101" t="str">
        <f t="shared" si="74"/>
        <v/>
      </c>
      <c r="AF235" s="110" t="s">
        <v>159</v>
      </c>
      <c r="AG235" s="108">
        <v>0.25072</v>
      </c>
      <c r="AH235" s="101" t="str">
        <f t="shared" si="75"/>
        <v/>
      </c>
    </row>
    <row r="236" spans="20:34" x14ac:dyDescent="0.35">
      <c r="U236" s="110" t="s">
        <v>160</v>
      </c>
      <c r="V236" s="109">
        <v>13.39865</v>
      </c>
      <c r="W236" s="109">
        <v>16.844239999999999</v>
      </c>
      <c r="X236" s="109">
        <v>46.112920000000003</v>
      </c>
      <c r="Y236" s="109">
        <v>112.66128</v>
      </c>
      <c r="Z236" s="108" t="s">
        <v>590</v>
      </c>
      <c r="AA236" s="108">
        <v>1.5200100000000001</v>
      </c>
      <c r="AB236" s="100">
        <f t="shared" si="73"/>
        <v>74.11877553437148</v>
      </c>
      <c r="AC236" s="110" t="s">
        <v>160</v>
      </c>
      <c r="AD236" s="108">
        <v>112.66128</v>
      </c>
      <c r="AE236" s="101" t="str">
        <f t="shared" si="74"/>
        <v/>
      </c>
      <c r="AF236" s="110" t="s">
        <v>160</v>
      </c>
      <c r="AG236" s="108">
        <v>90.549390000000002</v>
      </c>
      <c r="AH236" s="101" t="str">
        <f t="shared" si="75"/>
        <v/>
      </c>
    </row>
    <row r="237" spans="20:34" x14ac:dyDescent="0.35">
      <c r="U237" s="110" t="s">
        <v>589</v>
      </c>
      <c r="V237" s="109">
        <v>1.23566</v>
      </c>
      <c r="W237" s="109">
        <v>1.23719</v>
      </c>
      <c r="X237" s="109">
        <v>1.3069299999999999</v>
      </c>
      <c r="Y237" s="109">
        <v>1.2748600000000001</v>
      </c>
      <c r="Z237" s="108">
        <v>6940.1428800000003</v>
      </c>
      <c r="AA237" s="108" t="s">
        <v>590</v>
      </c>
      <c r="AB237" s="100" t="e">
        <f t="shared" si="73"/>
        <v>#VALUE!</v>
      </c>
      <c r="AC237" s="110" t="s">
        <v>589</v>
      </c>
      <c r="AD237" s="108">
        <v>1.2748600000000001</v>
      </c>
      <c r="AE237" s="101" t="str">
        <f t="shared" si="74"/>
        <v/>
      </c>
      <c r="AF237" s="110" t="s">
        <v>589</v>
      </c>
      <c r="AG237" s="108" t="s">
        <v>590</v>
      </c>
      <c r="AH237" s="101" t="str">
        <f t="shared" si="75"/>
        <v/>
      </c>
    </row>
    <row r="238" spans="20:34" x14ac:dyDescent="0.35">
      <c r="U238" s="110" t="s">
        <v>520</v>
      </c>
      <c r="V238" s="109">
        <v>18434.180420000001</v>
      </c>
      <c r="W238" s="109">
        <v>21615.451679999998</v>
      </c>
      <c r="X238" s="109">
        <v>23738.368040000001</v>
      </c>
      <c r="Y238" s="109">
        <v>32578.645059999999</v>
      </c>
      <c r="Z238" s="109">
        <v>6853.0194099999999</v>
      </c>
      <c r="AA238" s="108">
        <v>0.62075000000000002</v>
      </c>
      <c r="AB238" s="100">
        <f t="shared" si="73"/>
        <v>52482.71455497382</v>
      </c>
      <c r="AC238" s="110" t="s">
        <v>520</v>
      </c>
      <c r="AD238" s="108">
        <v>32578.645059999999</v>
      </c>
      <c r="AE238" s="101" t="str">
        <f t="shared" si="74"/>
        <v/>
      </c>
      <c r="AF238" s="110" t="s">
        <v>520</v>
      </c>
      <c r="AG238" s="108">
        <v>6940.1428800000003</v>
      </c>
      <c r="AH238" s="101" t="str">
        <f t="shared" si="75"/>
        <v/>
      </c>
    </row>
  </sheetData>
  <mergeCells count="2">
    <mergeCell ref="A2:I2"/>
    <mergeCell ref="AC5:AC6"/>
  </mergeCells>
  <hyperlinks>
    <hyperlink ref="X2" r:id="rId1"/>
  </hyperlinks>
  <pageMargins left="0.75" right="0.75" top="1" bottom="1" header="0.5" footer="0.5"/>
  <pageSetup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A7" sqref="A7"/>
    </sheetView>
  </sheetViews>
  <sheetFormatPr defaultRowHeight="15.5" x14ac:dyDescent="0.35"/>
  <cols>
    <col min="1" max="1" width="14.4140625" customWidth="1"/>
  </cols>
  <sheetData>
    <row r="1" spans="1:10" ht="16" thickBot="1" x14ac:dyDescent="0.4">
      <c r="A1" s="254" t="s">
        <v>1118</v>
      </c>
    </row>
    <row r="2" spans="1:10" ht="18.5" thickBot="1" x14ac:dyDescent="0.4">
      <c r="A2" s="255"/>
      <c r="B2" s="256" t="s">
        <v>597</v>
      </c>
      <c r="C2" s="256" t="s">
        <v>597</v>
      </c>
      <c r="D2" s="256" t="s">
        <v>597</v>
      </c>
      <c r="E2" s="256" t="s">
        <v>597</v>
      </c>
      <c r="F2" s="257" t="s">
        <v>106</v>
      </c>
      <c r="G2" s="257" t="s">
        <v>107</v>
      </c>
      <c r="H2" s="258" t="s">
        <v>1096</v>
      </c>
      <c r="I2" s="258" t="s">
        <v>1097</v>
      </c>
      <c r="J2" s="259"/>
    </row>
    <row r="3" spans="1:10" ht="16" thickBot="1" x14ac:dyDescent="0.4">
      <c r="A3" s="260"/>
      <c r="B3" s="261">
        <v>1980</v>
      </c>
      <c r="C3" s="261">
        <v>1990</v>
      </c>
      <c r="D3" s="261">
        <v>2000</v>
      </c>
      <c r="E3" s="261">
        <v>2010</v>
      </c>
      <c r="F3" s="261">
        <v>2010</v>
      </c>
      <c r="G3" s="261">
        <v>2010</v>
      </c>
      <c r="H3" s="261">
        <v>2010</v>
      </c>
      <c r="I3" s="261">
        <v>2010</v>
      </c>
      <c r="J3" s="259"/>
    </row>
    <row r="4" spans="1:10" ht="18.5" thickBot="1" x14ac:dyDescent="0.4">
      <c r="A4" s="260" t="s">
        <v>109</v>
      </c>
      <c r="B4" s="261" t="s">
        <v>1119</v>
      </c>
      <c r="C4" s="261" t="s">
        <v>1119</v>
      </c>
      <c r="D4" s="261" t="s">
        <v>1119</v>
      </c>
      <c r="E4" s="261" t="s">
        <v>1119</v>
      </c>
      <c r="F4" s="261">
        <v>106</v>
      </c>
      <c r="G4" s="261" t="s">
        <v>1120</v>
      </c>
      <c r="H4" s="262" t="s">
        <v>1121</v>
      </c>
      <c r="I4" s="261" t="s">
        <v>1119</v>
      </c>
      <c r="J4" s="259"/>
    </row>
    <row r="5" spans="1:10" ht="16" thickBot="1" x14ac:dyDescent="0.4">
      <c r="A5" s="260" t="s">
        <v>1122</v>
      </c>
      <c r="B5" s="261">
        <v>5475.3</v>
      </c>
      <c r="C5" s="261">
        <v>5814.3</v>
      </c>
      <c r="D5" s="261">
        <v>6818.8</v>
      </c>
      <c r="E5" s="261">
        <v>6605.7</v>
      </c>
      <c r="F5" s="261">
        <v>456.6</v>
      </c>
      <c r="G5" s="261">
        <v>15383.1</v>
      </c>
      <c r="H5" s="261">
        <v>33691</v>
      </c>
      <c r="I5" s="261">
        <v>14.5</v>
      </c>
      <c r="J5" s="259"/>
    </row>
    <row r="6" spans="1:10" ht="16" thickBot="1" x14ac:dyDescent="0.4">
      <c r="A6" s="263" t="s">
        <v>111</v>
      </c>
      <c r="B6" s="264">
        <v>240.3</v>
      </c>
      <c r="C6" s="264">
        <v>302.2</v>
      </c>
      <c r="D6" s="264">
        <v>383</v>
      </c>
      <c r="E6" s="264">
        <v>445.3</v>
      </c>
      <c r="F6" s="264">
        <v>112.5</v>
      </c>
      <c r="G6" s="264">
        <v>926.4</v>
      </c>
      <c r="H6" s="264">
        <v>8237</v>
      </c>
      <c r="I6" s="264">
        <v>4</v>
      </c>
      <c r="J6" s="259"/>
    </row>
    <row r="7" spans="1:10" ht="16" thickBot="1" x14ac:dyDescent="0.4">
      <c r="A7" s="263" t="s">
        <v>1123</v>
      </c>
      <c r="B7" s="264">
        <v>4776.8</v>
      </c>
      <c r="C7" s="264">
        <v>5040.6000000000004</v>
      </c>
      <c r="D7" s="264">
        <v>5861.3</v>
      </c>
      <c r="E7" s="264">
        <v>5610.1</v>
      </c>
      <c r="F7" s="264">
        <v>310.2</v>
      </c>
      <c r="G7" s="264">
        <v>13247</v>
      </c>
      <c r="H7" s="264">
        <v>42700</v>
      </c>
      <c r="I7" s="264">
        <v>18.100000000000001</v>
      </c>
      <c r="J7" s="259"/>
    </row>
    <row r="8" spans="1:10" ht="17.5" customHeight="1" thickBot="1" x14ac:dyDescent="0.4">
      <c r="A8" s="260" t="s">
        <v>1124</v>
      </c>
      <c r="B8" s="264">
        <v>627.4</v>
      </c>
      <c r="C8" s="264">
        <v>716.3</v>
      </c>
      <c r="D8" s="264">
        <v>991.3</v>
      </c>
      <c r="E8" s="264">
        <v>1257.7</v>
      </c>
      <c r="F8" s="264">
        <v>480</v>
      </c>
      <c r="G8" s="264">
        <v>2424.6999999999998</v>
      </c>
      <c r="H8" s="264">
        <v>5051</v>
      </c>
      <c r="I8" s="264">
        <v>2.6</v>
      </c>
      <c r="J8" s="259"/>
    </row>
    <row r="9" spans="1:10" ht="16" thickBot="1" x14ac:dyDescent="0.4">
      <c r="A9" s="263" t="s">
        <v>114</v>
      </c>
      <c r="B9" s="264">
        <v>92.8</v>
      </c>
      <c r="C9" s="264">
        <v>102.7</v>
      </c>
      <c r="D9" s="264">
        <v>138.4</v>
      </c>
      <c r="E9" s="264">
        <v>169.8</v>
      </c>
      <c r="F9" s="264">
        <v>41.3</v>
      </c>
      <c r="G9" s="264">
        <v>250.2</v>
      </c>
      <c r="H9" s="264">
        <v>6051</v>
      </c>
      <c r="I9" s="264">
        <v>4.0999999999999996</v>
      </c>
      <c r="J9" s="259"/>
    </row>
    <row r="10" spans="1:10" ht="16" thickBot="1" x14ac:dyDescent="0.4">
      <c r="A10" s="263" t="s">
        <v>115</v>
      </c>
      <c r="B10" s="264">
        <v>185.7</v>
      </c>
      <c r="C10" s="264">
        <v>237.3</v>
      </c>
      <c r="D10" s="264">
        <v>344.4</v>
      </c>
      <c r="E10" s="264">
        <v>453.9</v>
      </c>
      <c r="F10" s="264">
        <v>201.1</v>
      </c>
      <c r="G10" s="264">
        <v>1097.3</v>
      </c>
      <c r="H10" s="264">
        <v>5456</v>
      </c>
      <c r="I10" s="264">
        <v>2.2999999999999998</v>
      </c>
      <c r="J10" s="259"/>
    </row>
    <row r="11" spans="1:10" ht="16" thickBot="1" x14ac:dyDescent="0.4">
      <c r="A11" s="263" t="s">
        <v>228</v>
      </c>
      <c r="B11" s="264">
        <v>23.9</v>
      </c>
      <c r="C11" s="264">
        <v>31.9</v>
      </c>
      <c r="D11" s="264">
        <v>54.6</v>
      </c>
      <c r="E11" s="264">
        <v>68.8</v>
      </c>
      <c r="F11" s="264">
        <v>16.7</v>
      </c>
      <c r="G11" s="264">
        <v>139.30000000000001</v>
      </c>
      <c r="H11" s="264">
        <v>8320</v>
      </c>
      <c r="I11" s="264">
        <v>4.0999999999999996</v>
      </c>
      <c r="J11" s="259"/>
    </row>
    <row r="12" spans="1:10" ht="16" thickBot="1" x14ac:dyDescent="0.4">
      <c r="A12" s="263" t="s">
        <v>229</v>
      </c>
      <c r="B12" s="264">
        <v>39.700000000000003</v>
      </c>
      <c r="C12" s="264">
        <v>41.4</v>
      </c>
      <c r="D12" s="264">
        <v>57.7</v>
      </c>
      <c r="E12" s="264">
        <v>72.3</v>
      </c>
      <c r="F12" s="264">
        <v>44.2</v>
      </c>
      <c r="G12" s="264">
        <v>181.7</v>
      </c>
      <c r="H12" s="264">
        <v>4110</v>
      </c>
      <c r="I12" s="264">
        <v>1.6</v>
      </c>
      <c r="J12" s="259"/>
    </row>
    <row r="13" spans="1:10" ht="16" thickBot="1" x14ac:dyDescent="0.4">
      <c r="A13" s="263" t="s">
        <v>379</v>
      </c>
      <c r="B13" s="264">
        <v>29.9</v>
      </c>
      <c r="C13" s="264">
        <v>35.4</v>
      </c>
      <c r="D13" s="264">
        <v>32.9</v>
      </c>
      <c r="E13" s="264">
        <v>34.5</v>
      </c>
      <c r="F13" s="264">
        <v>11.5</v>
      </c>
      <c r="G13" s="264">
        <v>61.6</v>
      </c>
      <c r="H13" s="264">
        <v>5369</v>
      </c>
      <c r="I13" s="264">
        <v>3</v>
      </c>
      <c r="J13" s="259"/>
    </row>
    <row r="14" spans="1:10" ht="22" customHeight="1" thickBot="1" x14ac:dyDescent="0.4">
      <c r="A14" s="263" t="s">
        <v>1125</v>
      </c>
      <c r="B14" s="264">
        <v>10.6</v>
      </c>
      <c r="C14" s="264">
        <v>18.2</v>
      </c>
      <c r="D14" s="264">
        <v>27.5</v>
      </c>
      <c r="E14" s="264">
        <v>49.9</v>
      </c>
      <c r="F14" s="264">
        <v>1.2</v>
      </c>
      <c r="G14" s="264">
        <v>19.8</v>
      </c>
      <c r="H14" s="264">
        <v>16118</v>
      </c>
      <c r="I14" s="264">
        <v>40.6</v>
      </c>
      <c r="J14" s="259"/>
    </row>
    <row r="15" spans="1:10" ht="19.5" customHeight="1" thickBot="1" x14ac:dyDescent="0.4">
      <c r="A15" s="263" t="s">
        <v>116</v>
      </c>
      <c r="B15" s="264">
        <v>94.3</v>
      </c>
      <c r="C15" s="264">
        <v>109.7</v>
      </c>
      <c r="D15" s="264">
        <v>134.4</v>
      </c>
      <c r="E15" s="264">
        <v>158.4</v>
      </c>
      <c r="F15" s="264">
        <v>27.2</v>
      </c>
      <c r="G15" s="264">
        <v>171.1</v>
      </c>
      <c r="H15" s="264">
        <v>6285</v>
      </c>
      <c r="I15" s="264">
        <v>5.8</v>
      </c>
      <c r="J15" s="259"/>
    </row>
    <row r="16" spans="1:10" ht="16" thickBot="1" x14ac:dyDescent="0.4">
      <c r="A16" s="260" t="s">
        <v>544</v>
      </c>
      <c r="B16" s="261">
        <v>4680.3</v>
      </c>
      <c r="C16" s="261">
        <v>4545.6000000000004</v>
      </c>
      <c r="D16" s="261">
        <v>4457.8</v>
      </c>
      <c r="E16" s="261">
        <v>4370.3</v>
      </c>
      <c r="F16" s="261">
        <v>606</v>
      </c>
      <c r="G16" s="261">
        <v>15707.5</v>
      </c>
      <c r="H16" s="261">
        <v>25920</v>
      </c>
      <c r="I16" s="261">
        <v>7.2</v>
      </c>
      <c r="J16" s="259"/>
    </row>
    <row r="17" spans="1:10" ht="31.5" thickBot="1" x14ac:dyDescent="0.4">
      <c r="A17" s="263" t="s">
        <v>1126</v>
      </c>
      <c r="B17" s="264" t="s">
        <v>545</v>
      </c>
      <c r="C17" s="264" t="s">
        <v>545</v>
      </c>
      <c r="D17" s="264">
        <v>94.6</v>
      </c>
      <c r="E17" s="264">
        <v>90.8</v>
      </c>
      <c r="F17" s="264">
        <v>10.199999999999999</v>
      </c>
      <c r="G17" s="264">
        <v>141.9</v>
      </c>
      <c r="H17" s="264">
        <v>13910</v>
      </c>
      <c r="I17" s="264">
        <v>8.9</v>
      </c>
      <c r="J17" s="259"/>
    </row>
    <row r="18" spans="1:10" ht="16" thickBot="1" x14ac:dyDescent="0.4">
      <c r="A18" s="263" t="s">
        <v>118</v>
      </c>
      <c r="B18" s="264">
        <v>488.9</v>
      </c>
      <c r="C18" s="264">
        <v>367.7</v>
      </c>
      <c r="D18" s="264">
        <v>401.7</v>
      </c>
      <c r="E18" s="264">
        <v>395.2</v>
      </c>
      <c r="F18" s="264">
        <v>63.3</v>
      </c>
      <c r="G18" s="264">
        <v>2226.1</v>
      </c>
      <c r="H18" s="264">
        <v>35145</v>
      </c>
      <c r="I18" s="264">
        <v>6.2</v>
      </c>
      <c r="J18" s="259"/>
    </row>
    <row r="19" spans="1:10" ht="31.5" thickBot="1" x14ac:dyDescent="0.4">
      <c r="A19" s="263" t="s">
        <v>592</v>
      </c>
      <c r="B19" s="264">
        <v>1056</v>
      </c>
      <c r="C19" s="264">
        <v>990.6</v>
      </c>
      <c r="D19" s="264">
        <v>854.7</v>
      </c>
      <c r="E19" s="264">
        <v>793.7</v>
      </c>
      <c r="F19" s="264">
        <v>82.3</v>
      </c>
      <c r="G19" s="264">
        <v>2943.3</v>
      </c>
      <c r="H19" s="264">
        <v>35770</v>
      </c>
      <c r="I19" s="264">
        <v>9.6</v>
      </c>
      <c r="J19" s="259"/>
    </row>
    <row r="20" spans="1:10" ht="16" thickBot="1" x14ac:dyDescent="0.4">
      <c r="A20" s="263" t="s">
        <v>122</v>
      </c>
      <c r="B20" s="264">
        <v>371.8</v>
      </c>
      <c r="C20" s="264">
        <v>415.4</v>
      </c>
      <c r="D20" s="264">
        <v>447.7</v>
      </c>
      <c r="E20" s="264">
        <v>416.4</v>
      </c>
      <c r="F20" s="264">
        <v>58.1</v>
      </c>
      <c r="G20" s="264">
        <v>1740.5</v>
      </c>
      <c r="H20" s="264">
        <v>29945</v>
      </c>
      <c r="I20" s="264">
        <v>7.2</v>
      </c>
      <c r="J20" s="259"/>
    </row>
    <row r="21" spans="1:10" ht="31.5" thickBot="1" x14ac:dyDescent="0.4">
      <c r="A21" s="263" t="s">
        <v>123</v>
      </c>
      <c r="B21" s="264">
        <v>201.1</v>
      </c>
      <c r="C21" s="264">
        <v>211.1</v>
      </c>
      <c r="D21" s="264">
        <v>246.3</v>
      </c>
      <c r="E21" s="264">
        <v>263.39999999999998</v>
      </c>
      <c r="F21" s="264">
        <v>16.8</v>
      </c>
      <c r="G21" s="264">
        <v>682.1</v>
      </c>
      <c r="H21" s="264">
        <v>40642</v>
      </c>
      <c r="I21" s="264">
        <v>15.7</v>
      </c>
      <c r="J21" s="259"/>
    </row>
    <row r="22" spans="1:10" ht="16" thickBot="1" x14ac:dyDescent="0.4">
      <c r="A22" s="263" t="s">
        <v>300</v>
      </c>
      <c r="B22" s="264">
        <v>33.6</v>
      </c>
      <c r="C22" s="264">
        <v>34.799999999999997</v>
      </c>
      <c r="D22" s="264">
        <v>41.3</v>
      </c>
      <c r="E22" s="264">
        <v>41.8</v>
      </c>
      <c r="F22" s="264">
        <v>4.7</v>
      </c>
      <c r="G22" s="264">
        <v>312.39999999999998</v>
      </c>
      <c r="H22" s="264">
        <v>66808</v>
      </c>
      <c r="I22" s="264">
        <v>8.9</v>
      </c>
      <c r="J22" s="259"/>
    </row>
    <row r="23" spans="1:10" ht="16" thickBot="1" x14ac:dyDescent="0.4">
      <c r="A23" s="263" t="s">
        <v>188</v>
      </c>
      <c r="B23" s="264">
        <v>428.9</v>
      </c>
      <c r="C23" s="264">
        <v>333.8</v>
      </c>
      <c r="D23" s="264">
        <v>292.60000000000002</v>
      </c>
      <c r="E23" s="264">
        <v>303.7</v>
      </c>
      <c r="F23" s="264">
        <v>38.5</v>
      </c>
      <c r="G23" s="264">
        <v>382.9</v>
      </c>
      <c r="H23" s="264">
        <v>9955</v>
      </c>
      <c r="I23" s="264">
        <v>7.9</v>
      </c>
      <c r="J23" s="259"/>
    </row>
    <row r="24" spans="1:10" ht="16" thickBot="1" x14ac:dyDescent="0.4">
      <c r="A24" s="263" t="s">
        <v>124</v>
      </c>
      <c r="B24" s="264">
        <v>195</v>
      </c>
      <c r="C24" s="264">
        <v>224.1</v>
      </c>
      <c r="D24" s="264">
        <v>317.5</v>
      </c>
      <c r="E24" s="264">
        <v>316.39999999999998</v>
      </c>
      <c r="F24" s="264">
        <v>46.5</v>
      </c>
      <c r="G24" s="264">
        <v>1177.9000000000001</v>
      </c>
      <c r="H24" s="264">
        <v>25328</v>
      </c>
      <c r="I24" s="264">
        <v>6.8</v>
      </c>
      <c r="J24" s="259"/>
    </row>
    <row r="25" spans="1:10" ht="16" thickBot="1" x14ac:dyDescent="0.4">
      <c r="A25" s="263" t="s">
        <v>145</v>
      </c>
      <c r="B25" s="264">
        <v>82.3</v>
      </c>
      <c r="C25" s="264">
        <v>57.1</v>
      </c>
      <c r="D25" s="264">
        <v>60.7</v>
      </c>
      <c r="E25" s="264">
        <v>62.7</v>
      </c>
      <c r="F25" s="264">
        <v>9.1</v>
      </c>
      <c r="G25" s="264">
        <v>396.4</v>
      </c>
      <c r="H25" s="264">
        <v>43689</v>
      </c>
      <c r="I25" s="264">
        <v>6.9</v>
      </c>
      <c r="J25" s="259"/>
    </row>
    <row r="26" spans="1:10" ht="16" thickBot="1" x14ac:dyDescent="0.4">
      <c r="A26" s="263" t="s">
        <v>125</v>
      </c>
      <c r="B26" s="264">
        <v>68.599999999999994</v>
      </c>
      <c r="C26" s="264">
        <v>129.5</v>
      </c>
      <c r="D26" s="264">
        <v>201.9</v>
      </c>
      <c r="E26" s="264">
        <v>263.5</v>
      </c>
      <c r="F26" s="264">
        <v>77.8</v>
      </c>
      <c r="G26" s="264">
        <v>558.1</v>
      </c>
      <c r="H26" s="264">
        <v>7174</v>
      </c>
      <c r="I26" s="264">
        <v>3.4</v>
      </c>
      <c r="J26" s="259"/>
    </row>
    <row r="27" spans="1:10" ht="16" thickBot="1" x14ac:dyDescent="0.4">
      <c r="A27" s="263" t="s">
        <v>995</v>
      </c>
      <c r="B27" s="264">
        <v>613.6</v>
      </c>
      <c r="C27" s="264">
        <v>601.79999999999995</v>
      </c>
      <c r="D27" s="264">
        <v>560.29999999999995</v>
      </c>
      <c r="E27" s="264">
        <v>532.4</v>
      </c>
      <c r="F27" s="264">
        <v>62.6</v>
      </c>
      <c r="G27" s="264">
        <v>2324.6999999999998</v>
      </c>
      <c r="H27" s="264">
        <v>37128</v>
      </c>
      <c r="I27" s="264">
        <v>8.5</v>
      </c>
      <c r="J27" s="259"/>
    </row>
    <row r="28" spans="1:10" ht="16" thickBot="1" x14ac:dyDescent="0.4">
      <c r="A28" s="260" t="s">
        <v>551</v>
      </c>
      <c r="B28" s="261">
        <v>3081.9</v>
      </c>
      <c r="C28" s="261">
        <v>3820.8</v>
      </c>
      <c r="D28" s="261">
        <v>2261.1</v>
      </c>
      <c r="E28" s="261">
        <v>2454.1</v>
      </c>
      <c r="F28" s="261">
        <v>282.89999999999998</v>
      </c>
      <c r="G28" s="261">
        <v>1261.8</v>
      </c>
      <c r="H28" s="261">
        <v>4460</v>
      </c>
      <c r="I28" s="261">
        <v>8.6999999999999993</v>
      </c>
      <c r="J28" s="259"/>
    </row>
    <row r="29" spans="1:10" ht="31.5" thickBot="1" x14ac:dyDescent="0.4">
      <c r="A29" s="263" t="s">
        <v>127</v>
      </c>
      <c r="B29" s="264" t="s">
        <v>545</v>
      </c>
      <c r="C29" s="264" t="s">
        <v>545</v>
      </c>
      <c r="D29" s="264">
        <v>132.69999999999999</v>
      </c>
      <c r="E29" s="264">
        <v>184.5</v>
      </c>
      <c r="F29" s="264">
        <v>15.5</v>
      </c>
      <c r="G29" s="264">
        <v>75.599999999999994</v>
      </c>
      <c r="H29" s="264">
        <v>4891</v>
      </c>
      <c r="I29" s="264">
        <v>11.9</v>
      </c>
      <c r="J29" s="259"/>
    </row>
    <row r="30" spans="1:10" ht="16" thickBot="1" x14ac:dyDescent="0.4">
      <c r="A30" s="263" t="s">
        <v>190</v>
      </c>
      <c r="B30" s="264" t="s">
        <v>545</v>
      </c>
      <c r="C30" s="264" t="s">
        <v>545</v>
      </c>
      <c r="D30" s="264">
        <v>1498.8</v>
      </c>
      <c r="E30" s="264">
        <v>1633.8</v>
      </c>
      <c r="F30" s="264">
        <v>139.4</v>
      </c>
      <c r="G30" s="264">
        <v>899.7</v>
      </c>
      <c r="H30" s="264">
        <v>6454</v>
      </c>
      <c r="I30" s="264">
        <v>11.7</v>
      </c>
      <c r="J30" s="259"/>
    </row>
    <row r="31" spans="1:10" ht="16" thickBot="1" x14ac:dyDescent="0.4">
      <c r="A31" s="263" t="s">
        <v>191</v>
      </c>
      <c r="B31" s="264" t="s">
        <v>545</v>
      </c>
      <c r="C31" s="264" t="s">
        <v>545</v>
      </c>
      <c r="D31" s="264">
        <v>324.89999999999998</v>
      </c>
      <c r="E31" s="264">
        <v>275.5</v>
      </c>
      <c r="F31" s="264">
        <v>45.4</v>
      </c>
      <c r="G31" s="264">
        <v>91</v>
      </c>
      <c r="H31" s="264">
        <v>2004</v>
      </c>
      <c r="I31" s="264">
        <v>6.1</v>
      </c>
      <c r="J31" s="259"/>
    </row>
    <row r="32" spans="1:10" ht="31.5" thickBot="1" x14ac:dyDescent="0.4">
      <c r="A32" s="263" t="s">
        <v>192</v>
      </c>
      <c r="B32" s="264" t="s">
        <v>545</v>
      </c>
      <c r="C32" s="264" t="s">
        <v>545</v>
      </c>
      <c r="D32" s="264">
        <v>107.7</v>
      </c>
      <c r="E32" s="264">
        <v>114.3</v>
      </c>
      <c r="F32" s="264">
        <v>27.9</v>
      </c>
      <c r="G32" s="264">
        <v>20.3</v>
      </c>
      <c r="H32" s="264">
        <v>730</v>
      </c>
      <c r="I32" s="264">
        <v>4.0999999999999996</v>
      </c>
      <c r="J32" s="259"/>
    </row>
    <row r="33" spans="1:10" ht="30.5" thickBot="1" x14ac:dyDescent="0.4">
      <c r="A33" s="260" t="s">
        <v>131</v>
      </c>
      <c r="B33" s="261">
        <v>490.7</v>
      </c>
      <c r="C33" s="261">
        <v>729.9</v>
      </c>
      <c r="D33" s="261">
        <v>1095</v>
      </c>
      <c r="E33" s="261">
        <v>1785.9</v>
      </c>
      <c r="F33" s="261">
        <v>212.3</v>
      </c>
      <c r="G33" s="261">
        <v>1370.4</v>
      </c>
      <c r="H33" s="261">
        <v>6454</v>
      </c>
      <c r="I33" s="261">
        <v>8.4</v>
      </c>
      <c r="J33" s="259"/>
    </row>
    <row r="34" spans="1:10" ht="16" thickBot="1" x14ac:dyDescent="0.4">
      <c r="A34" s="263" t="s">
        <v>128</v>
      </c>
      <c r="B34" s="264">
        <v>116.8</v>
      </c>
      <c r="C34" s="264">
        <v>202.1</v>
      </c>
      <c r="D34" s="264">
        <v>321.7</v>
      </c>
      <c r="E34" s="264">
        <v>560.29999999999995</v>
      </c>
      <c r="F34" s="264">
        <v>76.900000000000006</v>
      </c>
      <c r="G34" s="264">
        <v>215.8</v>
      </c>
      <c r="H34" s="264">
        <v>2805</v>
      </c>
      <c r="I34" s="264">
        <v>7.3</v>
      </c>
      <c r="J34" s="259"/>
    </row>
    <row r="35" spans="1:10" ht="16" thickBot="1" x14ac:dyDescent="0.4">
      <c r="A35" s="263" t="s">
        <v>378</v>
      </c>
      <c r="B35" s="264">
        <v>51.7</v>
      </c>
      <c r="C35" s="264">
        <v>69.2</v>
      </c>
      <c r="D35" s="264">
        <v>73.599999999999994</v>
      </c>
      <c r="E35" s="264">
        <v>118.3</v>
      </c>
      <c r="F35" s="264">
        <v>29.7</v>
      </c>
      <c r="G35" s="264">
        <v>85.6</v>
      </c>
      <c r="H35" s="264">
        <v>2886</v>
      </c>
      <c r="I35" s="264">
        <v>4</v>
      </c>
      <c r="J35" s="259"/>
    </row>
    <row r="36" spans="1:10" ht="16" thickBot="1" x14ac:dyDescent="0.4">
      <c r="A36" s="263" t="s">
        <v>309</v>
      </c>
      <c r="B36" s="264">
        <v>13.9</v>
      </c>
      <c r="C36" s="264">
        <v>18.8</v>
      </c>
      <c r="D36" s="264">
        <v>34.700000000000003</v>
      </c>
      <c r="E36" s="264">
        <v>64.7</v>
      </c>
      <c r="F36" s="264">
        <v>0.8</v>
      </c>
      <c r="G36" s="264">
        <v>102.9</v>
      </c>
      <c r="H36" s="264">
        <v>122317</v>
      </c>
      <c r="I36" s="264">
        <v>76.900000000000006</v>
      </c>
      <c r="J36" s="259"/>
    </row>
    <row r="37" spans="1:10" ht="31.5" thickBot="1" x14ac:dyDescent="0.4">
      <c r="A37" s="263" t="s">
        <v>129</v>
      </c>
      <c r="B37" s="264">
        <v>176.9</v>
      </c>
      <c r="C37" s="264">
        <v>208</v>
      </c>
      <c r="D37" s="264">
        <v>290.5</v>
      </c>
      <c r="E37" s="264">
        <v>478.4</v>
      </c>
      <c r="F37" s="264">
        <v>25.7</v>
      </c>
      <c r="G37" s="264">
        <v>359.2</v>
      </c>
      <c r="H37" s="264">
        <v>13961</v>
      </c>
      <c r="I37" s="264">
        <v>18.600000000000001</v>
      </c>
      <c r="J37" s="259"/>
    </row>
    <row r="38" spans="1:10" ht="16" thickBot="1" x14ac:dyDescent="0.4">
      <c r="A38" s="263" t="s">
        <v>1127</v>
      </c>
      <c r="B38" s="264">
        <v>30.3</v>
      </c>
      <c r="C38" s="264">
        <v>79.099999999999994</v>
      </c>
      <c r="D38" s="264">
        <v>115.7</v>
      </c>
      <c r="E38" s="264">
        <v>199.4</v>
      </c>
      <c r="F38" s="264">
        <v>5</v>
      </c>
      <c r="G38" s="264">
        <v>176.4</v>
      </c>
      <c r="H38" s="264">
        <v>35451</v>
      </c>
      <c r="I38" s="264">
        <v>40.1</v>
      </c>
      <c r="J38" s="259"/>
    </row>
    <row r="39" spans="1:10" ht="16" thickBot="1" x14ac:dyDescent="0.4">
      <c r="A39" s="263" t="s">
        <v>385</v>
      </c>
      <c r="B39" s="264">
        <v>6.4</v>
      </c>
      <c r="C39" s="264">
        <v>11.4</v>
      </c>
      <c r="D39" s="264">
        <v>13.2</v>
      </c>
      <c r="E39" s="264">
        <v>26.5</v>
      </c>
      <c r="F39" s="264">
        <v>23.5</v>
      </c>
      <c r="G39" s="264">
        <v>24.5</v>
      </c>
      <c r="H39" s="264">
        <v>1041</v>
      </c>
      <c r="I39" s="264">
        <v>1.1000000000000001</v>
      </c>
      <c r="J39" s="259"/>
    </row>
    <row r="40" spans="1:10" ht="16" thickBot="1" x14ac:dyDescent="0.4">
      <c r="A40" s="260" t="s">
        <v>135</v>
      </c>
      <c r="B40" s="261">
        <v>537.1</v>
      </c>
      <c r="C40" s="261">
        <v>725.7</v>
      </c>
      <c r="D40" s="261">
        <v>887.2</v>
      </c>
      <c r="E40" s="261">
        <v>1145.2</v>
      </c>
      <c r="F40" s="261">
        <v>1015.5</v>
      </c>
      <c r="G40" s="261">
        <v>1256</v>
      </c>
      <c r="H40" s="261">
        <v>1237</v>
      </c>
      <c r="I40" s="261">
        <v>1.1000000000000001</v>
      </c>
      <c r="J40" s="259"/>
    </row>
    <row r="41" spans="1:10" ht="16" thickBot="1" x14ac:dyDescent="0.4">
      <c r="A41" s="263" t="s">
        <v>202</v>
      </c>
      <c r="B41" s="264">
        <v>67</v>
      </c>
      <c r="C41" s="264">
        <v>83.1</v>
      </c>
      <c r="D41" s="264">
        <v>83.6</v>
      </c>
      <c r="E41" s="264">
        <v>110.9</v>
      </c>
      <c r="F41" s="264">
        <v>34.6</v>
      </c>
      <c r="G41" s="264">
        <v>120.8</v>
      </c>
      <c r="H41" s="264">
        <v>3492</v>
      </c>
      <c r="I41" s="264">
        <v>3.2</v>
      </c>
      <c r="J41" s="259"/>
    </row>
    <row r="42" spans="1:10" ht="16" thickBot="1" x14ac:dyDescent="0.4">
      <c r="A42" s="263" t="s">
        <v>203</v>
      </c>
      <c r="B42" s="264">
        <v>3.4</v>
      </c>
      <c r="C42" s="264">
        <v>7.2</v>
      </c>
      <c r="D42" s="264">
        <v>13</v>
      </c>
      <c r="E42" s="264">
        <v>24.2</v>
      </c>
      <c r="F42" s="264">
        <v>13.1</v>
      </c>
      <c r="G42" s="264">
        <v>53.1</v>
      </c>
      <c r="H42" s="264">
        <v>4063</v>
      </c>
      <c r="I42" s="264">
        <v>1.9</v>
      </c>
      <c r="J42" s="259"/>
    </row>
    <row r="43" spans="1:10" ht="31.5" thickBot="1" x14ac:dyDescent="0.4">
      <c r="A43" s="263" t="s">
        <v>1128</v>
      </c>
      <c r="B43" s="264">
        <v>3.4</v>
      </c>
      <c r="C43" s="264">
        <v>3.6</v>
      </c>
      <c r="D43" s="264">
        <v>2.7</v>
      </c>
      <c r="E43" s="264">
        <v>2.8</v>
      </c>
      <c r="F43" s="264">
        <v>70.900000000000006</v>
      </c>
      <c r="G43" s="264">
        <v>9.3000000000000007</v>
      </c>
      <c r="H43" s="264">
        <v>131</v>
      </c>
      <c r="I43" s="264">
        <v>0</v>
      </c>
      <c r="J43" s="259"/>
    </row>
    <row r="44" spans="1:10" ht="16" thickBot="1" x14ac:dyDescent="0.4">
      <c r="A44" s="263" t="s">
        <v>132</v>
      </c>
      <c r="B44" s="264">
        <v>40.9</v>
      </c>
      <c r="C44" s="264">
        <v>92.6</v>
      </c>
      <c r="D44" s="264">
        <v>120</v>
      </c>
      <c r="E44" s="264">
        <v>196.5</v>
      </c>
      <c r="F44" s="264">
        <v>80.5</v>
      </c>
      <c r="G44" s="264">
        <v>125.5</v>
      </c>
      <c r="H44" s="264">
        <v>1559</v>
      </c>
      <c r="I44" s="264">
        <v>2.4</v>
      </c>
      <c r="J44" s="259"/>
    </row>
    <row r="45" spans="1:10" ht="16" thickBot="1" x14ac:dyDescent="0.4">
      <c r="A45" s="263" t="s">
        <v>246</v>
      </c>
      <c r="B45" s="264">
        <v>1.7</v>
      </c>
      <c r="C45" s="264">
        <v>3</v>
      </c>
      <c r="D45" s="264">
        <v>3.5</v>
      </c>
      <c r="E45" s="264">
        <v>6.7</v>
      </c>
      <c r="F45" s="264">
        <v>88</v>
      </c>
      <c r="G45" s="264">
        <v>20.399999999999999</v>
      </c>
      <c r="H45" s="264">
        <v>231</v>
      </c>
      <c r="I45" s="264">
        <v>0.1</v>
      </c>
      <c r="J45" s="259"/>
    </row>
    <row r="46" spans="1:10" ht="16" thickBot="1" x14ac:dyDescent="0.4">
      <c r="A46" s="263" t="s">
        <v>268</v>
      </c>
      <c r="B46" s="264">
        <v>5.8</v>
      </c>
      <c r="C46" s="264">
        <v>6.7</v>
      </c>
      <c r="D46" s="264">
        <v>8.6999999999999993</v>
      </c>
      <c r="E46" s="264">
        <v>12.2</v>
      </c>
      <c r="F46" s="264">
        <v>40</v>
      </c>
      <c r="G46" s="264">
        <v>23.8</v>
      </c>
      <c r="H46" s="264">
        <v>595</v>
      </c>
      <c r="I46" s="264">
        <v>0.3</v>
      </c>
      <c r="J46" s="259"/>
    </row>
    <row r="47" spans="1:10" ht="16" thickBot="1" x14ac:dyDescent="0.4">
      <c r="A47" s="263" t="s">
        <v>277</v>
      </c>
      <c r="B47" s="264">
        <v>32.4</v>
      </c>
      <c r="C47" s="264">
        <v>42.4</v>
      </c>
      <c r="D47" s="264">
        <v>41.9</v>
      </c>
      <c r="E47" s="264">
        <v>60.6</v>
      </c>
      <c r="F47" s="264">
        <v>6.5</v>
      </c>
      <c r="G47" s="264">
        <v>54.8</v>
      </c>
      <c r="H47" s="264">
        <v>8488</v>
      </c>
      <c r="I47" s="264">
        <v>9.4</v>
      </c>
      <c r="J47" s="259"/>
    </row>
    <row r="48" spans="1:10" ht="16" thickBot="1" x14ac:dyDescent="0.4">
      <c r="A48" s="263" t="s">
        <v>291</v>
      </c>
      <c r="B48" s="264">
        <v>16.399999999999999</v>
      </c>
      <c r="C48" s="264">
        <v>22.6</v>
      </c>
      <c r="D48" s="264">
        <v>31.2</v>
      </c>
      <c r="E48" s="264">
        <v>35.700000000000003</v>
      </c>
      <c r="F48" s="264">
        <v>31.6</v>
      </c>
      <c r="G48" s="264">
        <v>75.7</v>
      </c>
      <c r="H48" s="264">
        <v>2392</v>
      </c>
      <c r="I48" s="264">
        <v>1.1000000000000001</v>
      </c>
      <c r="J48" s="259"/>
    </row>
    <row r="49" spans="1:10" ht="16" thickBot="1" x14ac:dyDescent="0.4">
      <c r="A49" s="263" t="s">
        <v>133</v>
      </c>
      <c r="B49" s="264">
        <v>69.099999999999994</v>
      </c>
      <c r="C49" s="264">
        <v>82.5</v>
      </c>
      <c r="D49" s="264">
        <v>80.8</v>
      </c>
      <c r="E49" s="264">
        <v>80.5</v>
      </c>
      <c r="F49" s="264">
        <v>152.19999999999999</v>
      </c>
      <c r="G49" s="264">
        <v>153.30000000000001</v>
      </c>
      <c r="H49" s="264">
        <v>1007</v>
      </c>
      <c r="I49" s="264">
        <v>0.5</v>
      </c>
      <c r="J49" s="259"/>
    </row>
    <row r="50" spans="1:10" ht="31.5" thickBot="1" x14ac:dyDescent="0.4">
      <c r="A50" s="263" t="s">
        <v>134</v>
      </c>
      <c r="B50" s="264">
        <v>235</v>
      </c>
      <c r="C50" s="264">
        <v>298</v>
      </c>
      <c r="D50" s="264">
        <v>386</v>
      </c>
      <c r="E50" s="264">
        <v>465.1</v>
      </c>
      <c r="F50" s="264">
        <v>49.1</v>
      </c>
      <c r="G50" s="264">
        <v>288.2</v>
      </c>
      <c r="H50" s="264">
        <v>5868</v>
      </c>
      <c r="I50" s="264">
        <v>9.5</v>
      </c>
      <c r="J50" s="259"/>
    </row>
    <row r="51" spans="1:10" ht="30.5" thickBot="1" x14ac:dyDescent="0.4">
      <c r="A51" s="260" t="s">
        <v>1129</v>
      </c>
      <c r="B51" s="261">
        <v>3541.5</v>
      </c>
      <c r="C51" s="261">
        <v>5262.9</v>
      </c>
      <c r="D51" s="261">
        <v>7227.2</v>
      </c>
      <c r="E51" s="261">
        <v>14161.4</v>
      </c>
      <c r="F51" s="261">
        <v>3799.7</v>
      </c>
      <c r="G51" s="261">
        <v>13799.9</v>
      </c>
      <c r="H51" s="261">
        <v>3632</v>
      </c>
      <c r="I51" s="261">
        <v>3.7</v>
      </c>
      <c r="J51" s="259"/>
    </row>
    <row r="52" spans="1:10" ht="31.5" thickBot="1" x14ac:dyDescent="0.4">
      <c r="A52" s="263" t="s">
        <v>390</v>
      </c>
      <c r="B52" s="264">
        <v>1.4</v>
      </c>
      <c r="C52" s="264">
        <v>6.3</v>
      </c>
      <c r="D52" s="264">
        <v>1.3</v>
      </c>
      <c r="E52" s="264">
        <v>0.8</v>
      </c>
      <c r="F52" s="264">
        <v>29.1</v>
      </c>
      <c r="G52" s="264">
        <v>11.1</v>
      </c>
      <c r="H52" s="264">
        <v>381</v>
      </c>
      <c r="I52" s="264">
        <v>0</v>
      </c>
      <c r="J52" s="259"/>
    </row>
    <row r="53" spans="1:10" ht="16" thickBot="1" x14ac:dyDescent="0.4">
      <c r="A53" s="263" t="s">
        <v>136</v>
      </c>
      <c r="B53" s="264">
        <v>198.8</v>
      </c>
      <c r="C53" s="264">
        <v>267.60000000000002</v>
      </c>
      <c r="D53" s="264">
        <v>356.3</v>
      </c>
      <c r="E53" s="264">
        <v>405.3</v>
      </c>
      <c r="F53" s="264">
        <v>21.5</v>
      </c>
      <c r="G53" s="264">
        <v>842.7</v>
      </c>
      <c r="H53" s="264">
        <v>39169</v>
      </c>
      <c r="I53" s="264">
        <v>18.8</v>
      </c>
      <c r="J53" s="259"/>
    </row>
    <row r="54" spans="1:10" ht="31.5" thickBot="1" x14ac:dyDescent="0.4">
      <c r="A54" s="263" t="s">
        <v>210</v>
      </c>
      <c r="B54" s="264">
        <v>7.6</v>
      </c>
      <c r="C54" s="264">
        <v>14.9</v>
      </c>
      <c r="D54" s="264">
        <v>29.4</v>
      </c>
      <c r="E54" s="264">
        <v>56.7</v>
      </c>
      <c r="F54" s="264">
        <v>156.1</v>
      </c>
      <c r="G54" s="264">
        <v>77.7</v>
      </c>
      <c r="H54" s="264">
        <v>498</v>
      </c>
      <c r="I54" s="264">
        <v>0.4</v>
      </c>
      <c r="J54" s="259"/>
    </row>
    <row r="55" spans="1:10" ht="16" thickBot="1" x14ac:dyDescent="0.4">
      <c r="A55" s="263" t="s">
        <v>137</v>
      </c>
      <c r="B55" s="264">
        <v>1448.5</v>
      </c>
      <c r="C55" s="264">
        <v>2269.6999999999998</v>
      </c>
      <c r="D55" s="264">
        <v>2849.7</v>
      </c>
      <c r="E55" s="264">
        <v>8321</v>
      </c>
      <c r="F55" s="264">
        <v>1330.1</v>
      </c>
      <c r="G55" s="264">
        <v>3825.7</v>
      </c>
      <c r="H55" s="264">
        <v>2876</v>
      </c>
      <c r="I55" s="264">
        <v>6.3</v>
      </c>
      <c r="J55" s="259"/>
    </row>
    <row r="56" spans="1:10" ht="16" thickBot="1" x14ac:dyDescent="0.4">
      <c r="A56" s="263" t="s">
        <v>138</v>
      </c>
      <c r="B56" s="264">
        <v>291.2</v>
      </c>
      <c r="C56" s="264">
        <v>578.6</v>
      </c>
      <c r="D56" s="264">
        <v>1003</v>
      </c>
      <c r="E56" s="264">
        <v>1695.6</v>
      </c>
      <c r="F56" s="264">
        <v>1173.0999999999999</v>
      </c>
      <c r="G56" s="264">
        <v>1227.8</v>
      </c>
      <c r="H56" s="264">
        <v>1047</v>
      </c>
      <c r="I56" s="264">
        <v>1.4</v>
      </c>
      <c r="J56" s="259"/>
    </row>
    <row r="57" spans="1:10" ht="16" thickBot="1" x14ac:dyDescent="0.4">
      <c r="A57" s="263" t="s">
        <v>139</v>
      </c>
      <c r="B57" s="264">
        <v>85.8</v>
      </c>
      <c r="C57" s="264">
        <v>156</v>
      </c>
      <c r="D57" s="264">
        <v>266.3</v>
      </c>
      <c r="E57" s="264">
        <v>389.4</v>
      </c>
      <c r="F57" s="264">
        <v>243</v>
      </c>
      <c r="G57" s="264">
        <v>377</v>
      </c>
      <c r="H57" s="264">
        <v>1551</v>
      </c>
      <c r="I57" s="264">
        <v>1.6</v>
      </c>
      <c r="J57" s="259"/>
    </row>
    <row r="58" spans="1:10" ht="16" thickBot="1" x14ac:dyDescent="0.4">
      <c r="A58" s="263" t="s">
        <v>140</v>
      </c>
      <c r="B58" s="264">
        <v>947</v>
      </c>
      <c r="C58" s="264">
        <v>1047</v>
      </c>
      <c r="D58" s="264">
        <v>1201.4000000000001</v>
      </c>
      <c r="E58" s="264">
        <v>1164.5</v>
      </c>
      <c r="F58" s="264">
        <v>126.8</v>
      </c>
      <c r="G58" s="264">
        <v>4598.3</v>
      </c>
      <c r="H58" s="264">
        <v>36263</v>
      </c>
      <c r="I58" s="264">
        <v>9.1999999999999993</v>
      </c>
      <c r="J58" s="259"/>
    </row>
    <row r="59" spans="1:10" ht="16" thickBot="1" x14ac:dyDescent="0.4">
      <c r="A59" s="263" t="s">
        <v>1130</v>
      </c>
      <c r="B59" s="264">
        <v>110.5</v>
      </c>
      <c r="C59" s="264">
        <v>124.2</v>
      </c>
      <c r="D59" s="264">
        <v>69.400000000000006</v>
      </c>
      <c r="E59" s="264">
        <v>63.7</v>
      </c>
      <c r="F59" s="264">
        <v>22.8</v>
      </c>
      <c r="G59" s="264">
        <v>26.7</v>
      </c>
      <c r="H59" s="264">
        <v>1173</v>
      </c>
      <c r="I59" s="264">
        <v>2.8</v>
      </c>
      <c r="J59" s="259"/>
    </row>
    <row r="60" spans="1:10" ht="16" thickBot="1" x14ac:dyDescent="0.4">
      <c r="A60" s="263" t="s">
        <v>1131</v>
      </c>
      <c r="B60" s="264">
        <v>131.69999999999999</v>
      </c>
      <c r="C60" s="264">
        <v>242.1</v>
      </c>
      <c r="D60" s="264">
        <v>438.8</v>
      </c>
      <c r="E60" s="264">
        <v>579</v>
      </c>
      <c r="F60" s="264">
        <v>48.6</v>
      </c>
      <c r="G60" s="264">
        <v>1015.8</v>
      </c>
      <c r="H60" s="264">
        <v>20886</v>
      </c>
      <c r="I60" s="264">
        <v>11.9</v>
      </c>
      <c r="J60" s="259"/>
    </row>
    <row r="61" spans="1:10" ht="16" thickBot="1" x14ac:dyDescent="0.4">
      <c r="A61" s="263" t="s">
        <v>283</v>
      </c>
      <c r="B61" s="264">
        <v>26.3</v>
      </c>
      <c r="C61" s="264">
        <v>65</v>
      </c>
      <c r="D61" s="264">
        <v>117.5</v>
      </c>
      <c r="E61" s="264">
        <v>181.9</v>
      </c>
      <c r="F61" s="264">
        <v>28.3</v>
      </c>
      <c r="G61" s="264">
        <v>170.9</v>
      </c>
      <c r="H61" s="264">
        <v>6046</v>
      </c>
      <c r="I61" s="264">
        <v>6.4</v>
      </c>
      <c r="J61" s="259"/>
    </row>
    <row r="62" spans="1:10" ht="16" thickBot="1" x14ac:dyDescent="0.4">
      <c r="A62" s="263" t="s">
        <v>302</v>
      </c>
      <c r="B62" s="264">
        <v>33.700000000000003</v>
      </c>
      <c r="C62" s="264">
        <v>67</v>
      </c>
      <c r="D62" s="264">
        <v>109</v>
      </c>
      <c r="E62" s="264">
        <v>151.6</v>
      </c>
      <c r="F62" s="264">
        <v>184.4</v>
      </c>
      <c r="G62" s="264">
        <v>135.4</v>
      </c>
      <c r="H62" s="264">
        <v>734</v>
      </c>
      <c r="I62" s="264">
        <v>0.8</v>
      </c>
      <c r="J62" s="259"/>
    </row>
    <row r="63" spans="1:10" ht="31.5" thickBot="1" x14ac:dyDescent="0.4">
      <c r="A63" s="263" t="s">
        <v>307</v>
      </c>
      <c r="B63" s="264">
        <v>33.9</v>
      </c>
      <c r="C63" s="264">
        <v>41.4</v>
      </c>
      <c r="D63" s="264">
        <v>70.900000000000006</v>
      </c>
      <c r="E63" s="264">
        <v>85.6</v>
      </c>
      <c r="F63" s="264">
        <v>99.9</v>
      </c>
      <c r="G63" s="264">
        <v>124.7</v>
      </c>
      <c r="H63" s="264">
        <v>1248</v>
      </c>
      <c r="I63" s="264">
        <v>0.9</v>
      </c>
      <c r="J63" s="259"/>
    </row>
    <row r="64" spans="1:10" ht="16" thickBot="1" x14ac:dyDescent="0.4">
      <c r="A64" s="263" t="s">
        <v>317</v>
      </c>
      <c r="B64" s="264">
        <v>29.4</v>
      </c>
      <c r="C64" s="264">
        <v>57.7</v>
      </c>
      <c r="D64" s="264">
        <v>107.6</v>
      </c>
      <c r="E64" s="264">
        <v>172.2</v>
      </c>
      <c r="F64" s="264">
        <v>4.7</v>
      </c>
      <c r="G64" s="264">
        <v>170.2</v>
      </c>
      <c r="H64" s="264">
        <v>36196</v>
      </c>
      <c r="I64" s="264">
        <v>36.6</v>
      </c>
      <c r="J64" s="259"/>
    </row>
    <row r="65" spans="1:10" ht="16" thickBot="1" x14ac:dyDescent="0.4">
      <c r="A65" s="263" t="s">
        <v>321</v>
      </c>
      <c r="B65" s="264">
        <v>4.9000000000000004</v>
      </c>
      <c r="C65" s="264">
        <v>5.3</v>
      </c>
      <c r="D65" s="264">
        <v>11.3</v>
      </c>
      <c r="E65" s="264">
        <v>14.1</v>
      </c>
      <c r="F65" s="264">
        <v>21.5</v>
      </c>
      <c r="G65" s="264">
        <v>33</v>
      </c>
      <c r="H65" s="264">
        <v>1533</v>
      </c>
      <c r="I65" s="264">
        <v>0.7</v>
      </c>
      <c r="J65" s="259"/>
    </row>
    <row r="66" spans="1:10" ht="16" thickBot="1" x14ac:dyDescent="0.4">
      <c r="A66" s="263" t="s">
        <v>144</v>
      </c>
      <c r="B66" s="264">
        <v>33.6</v>
      </c>
      <c r="C66" s="264">
        <v>83.9</v>
      </c>
      <c r="D66" s="264">
        <v>161.80000000000001</v>
      </c>
      <c r="E66" s="264">
        <v>278.5</v>
      </c>
      <c r="F66" s="264">
        <v>67.099999999999994</v>
      </c>
      <c r="G66" s="264">
        <v>209.5</v>
      </c>
      <c r="H66" s="264">
        <v>3122</v>
      </c>
      <c r="I66" s="264">
        <v>4.2</v>
      </c>
      <c r="J66" s="259"/>
    </row>
    <row r="67" spans="1:10" ht="16" thickBot="1" x14ac:dyDescent="0.4">
      <c r="A67" s="263" t="s">
        <v>160</v>
      </c>
      <c r="B67" s="264">
        <v>13.4</v>
      </c>
      <c r="C67" s="264">
        <v>16.8</v>
      </c>
      <c r="D67" s="264">
        <v>46.1</v>
      </c>
      <c r="E67" s="264">
        <v>112.8</v>
      </c>
      <c r="F67" s="264">
        <v>89.6</v>
      </c>
      <c r="G67" s="264">
        <v>74.2</v>
      </c>
      <c r="H67" s="264">
        <v>828</v>
      </c>
      <c r="I67" s="264">
        <v>1.3</v>
      </c>
      <c r="J67" s="259"/>
    </row>
    <row r="68" spans="1:10" ht="16" thickBot="1" x14ac:dyDescent="0.4">
      <c r="A68" s="260" t="s">
        <v>520</v>
      </c>
      <c r="B68" s="261">
        <v>18434.2</v>
      </c>
      <c r="C68" s="261">
        <v>21615.5</v>
      </c>
      <c r="D68" s="261">
        <v>23738.400000000001</v>
      </c>
      <c r="E68" s="261">
        <v>31780.400000000001</v>
      </c>
      <c r="F68" s="261">
        <v>6853</v>
      </c>
      <c r="G68" s="261">
        <v>51196.7</v>
      </c>
      <c r="H68" s="261">
        <v>7471</v>
      </c>
      <c r="I68" s="261">
        <v>4.5999999999999996</v>
      </c>
      <c r="J68" s="265"/>
    </row>
    <row r="69" spans="1:10" ht="52" customHeight="1" x14ac:dyDescent="0.35">
      <c r="A69" s="268" t="s">
        <v>1133</v>
      </c>
      <c r="B69" s="268"/>
      <c r="C69" s="268"/>
      <c r="D69" s="268"/>
      <c r="E69" s="268"/>
      <c r="F69" s="268"/>
      <c r="G69" s="268"/>
      <c r="H69" s="268"/>
      <c r="I69" s="268"/>
      <c r="J69" s="267"/>
    </row>
    <row r="70" spans="1:10" x14ac:dyDescent="0.35">
      <c r="A70" s="266" t="s">
        <v>1132</v>
      </c>
    </row>
  </sheetData>
  <mergeCells count="1">
    <mergeCell ref="A69:I6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T29"/>
  <sheetViews>
    <sheetView workbookViewId="0">
      <selection activeCell="N21" sqref="N21"/>
    </sheetView>
  </sheetViews>
  <sheetFormatPr defaultRowHeight="15.5" x14ac:dyDescent="0.35"/>
  <cols>
    <col min="1" max="1" width="7.5" customWidth="1"/>
    <col min="2" max="13" width="5.6640625" customWidth="1"/>
    <col min="14" max="14" width="6.6640625" customWidth="1"/>
  </cols>
  <sheetData>
    <row r="1" spans="1:72" x14ac:dyDescent="0.35">
      <c r="A1" s="10" t="s">
        <v>80</v>
      </c>
      <c r="B1" s="9">
        <v>1</v>
      </c>
      <c r="C1" s="9">
        <v>2</v>
      </c>
      <c r="D1" s="9">
        <v>3</v>
      </c>
      <c r="E1" s="10">
        <v>4</v>
      </c>
      <c r="F1" s="10">
        <v>5</v>
      </c>
      <c r="G1" s="10">
        <v>6</v>
      </c>
      <c r="H1" s="10">
        <v>7</v>
      </c>
      <c r="I1" s="10">
        <v>8</v>
      </c>
      <c r="J1" s="10">
        <v>9</v>
      </c>
      <c r="K1" s="10">
        <v>10</v>
      </c>
      <c r="L1" s="10">
        <v>11</v>
      </c>
      <c r="M1" s="10">
        <v>12</v>
      </c>
      <c r="N1" s="10" t="s">
        <v>53</v>
      </c>
    </row>
    <row r="2" spans="1:72" ht="18.5" x14ac:dyDescent="0.35">
      <c r="A2" s="31" t="s">
        <v>28</v>
      </c>
      <c r="B2" s="96">
        <v>0.99009900990099009</v>
      </c>
      <c r="C2" s="96">
        <v>0.98029604940692083</v>
      </c>
      <c r="D2" s="96">
        <v>0.97059014792764442</v>
      </c>
      <c r="E2" s="29">
        <v>0.96098034448281622</v>
      </c>
      <c r="F2" s="29">
        <v>0.95146568760674877</v>
      </c>
      <c r="G2" s="29">
        <v>0.94204523525420658</v>
      </c>
      <c r="H2" s="29">
        <v>0.93271805470713531</v>
      </c>
      <c r="I2" s="29">
        <v>0.92348322248231207</v>
      </c>
      <c r="J2" s="29">
        <v>0.91433982423991289</v>
      </c>
      <c r="K2" s="29">
        <v>0.90528695469298304</v>
      </c>
      <c r="L2" s="29">
        <v>0.89632371751780504</v>
      </c>
      <c r="M2" s="29">
        <v>0.88744922526515346</v>
      </c>
      <c r="N2" s="29">
        <v>11.255077473484629</v>
      </c>
    </row>
    <row r="3" spans="1:72" x14ac:dyDescent="0.35">
      <c r="A3" s="10" t="s">
        <v>80</v>
      </c>
      <c r="B3" s="10">
        <v>13</v>
      </c>
      <c r="C3" s="10">
        <v>14</v>
      </c>
      <c r="D3" s="10">
        <v>15</v>
      </c>
      <c r="E3" s="10">
        <v>16</v>
      </c>
      <c r="F3" s="10">
        <v>17</v>
      </c>
      <c r="G3" s="10">
        <v>18</v>
      </c>
      <c r="H3" s="10">
        <v>19</v>
      </c>
      <c r="I3" s="10">
        <v>20</v>
      </c>
      <c r="J3" s="10">
        <v>21</v>
      </c>
      <c r="K3" s="10">
        <v>22</v>
      </c>
      <c r="L3" s="10">
        <v>23</v>
      </c>
      <c r="M3" s="10">
        <v>24</v>
      </c>
      <c r="N3" s="29"/>
    </row>
    <row r="4" spans="1:72" ht="18.5" x14ac:dyDescent="0.35">
      <c r="A4" s="31" t="s">
        <v>28</v>
      </c>
      <c r="B4" s="29">
        <v>0.87866259927242918</v>
      </c>
      <c r="C4" s="29">
        <v>0.86996296957666253</v>
      </c>
      <c r="D4" s="29">
        <v>0.86134947482837876</v>
      </c>
      <c r="E4" s="29">
        <v>0.85282126220631549</v>
      </c>
      <c r="F4" s="29">
        <v>0.84437748733298568</v>
      </c>
      <c r="G4" s="29">
        <v>0.83601731419107483</v>
      </c>
      <c r="H4" s="29">
        <v>0.82773991504066813</v>
      </c>
      <c r="I4" s="29">
        <v>0.81954447033729516</v>
      </c>
      <c r="J4" s="29">
        <v>0.81143016865078732</v>
      </c>
      <c r="K4" s="29">
        <v>0.80339620658493782</v>
      </c>
      <c r="L4" s="29">
        <v>0.79544178869795834</v>
      </c>
      <c r="M4" s="29">
        <v>0.78756612742372101</v>
      </c>
      <c r="N4" s="29">
        <v>9.9883097841432154</v>
      </c>
      <c r="O4" s="22"/>
      <c r="P4" s="22"/>
      <c r="Q4" s="22"/>
      <c r="R4" s="22"/>
      <c r="S4" s="22"/>
      <c r="T4" s="22"/>
    </row>
    <row r="5" spans="1:72" x14ac:dyDescent="0.35">
      <c r="A5" s="10" t="s">
        <v>80</v>
      </c>
      <c r="B5" s="10">
        <v>25</v>
      </c>
      <c r="C5" s="10">
        <v>26</v>
      </c>
      <c r="D5" s="10">
        <v>27</v>
      </c>
      <c r="E5" s="10">
        <v>28</v>
      </c>
      <c r="F5" s="10">
        <v>29</v>
      </c>
      <c r="G5" s="10">
        <v>30</v>
      </c>
      <c r="H5" s="10">
        <v>31</v>
      </c>
      <c r="I5" s="10">
        <v>32</v>
      </c>
      <c r="J5" s="10">
        <v>33</v>
      </c>
      <c r="K5" s="10">
        <v>34</v>
      </c>
      <c r="L5" s="10">
        <v>35</v>
      </c>
      <c r="M5" s="10">
        <v>36</v>
      </c>
      <c r="N5" s="29"/>
    </row>
    <row r="6" spans="1:72" ht="18.5" x14ac:dyDescent="0.35">
      <c r="A6" s="31" t="s">
        <v>28</v>
      </c>
      <c r="B6" s="29">
        <v>0.77976844299378312</v>
      </c>
      <c r="C6" s="29">
        <v>0.77204796336018133</v>
      </c>
      <c r="D6" s="29">
        <v>0.7644039241189915</v>
      </c>
      <c r="E6" s="29">
        <v>0.75683556843464495</v>
      </c>
      <c r="F6" s="29">
        <v>0.74934214696499502</v>
      </c>
      <c r="G6" s="29">
        <v>0.74192291778712383</v>
      </c>
      <c r="H6" s="29">
        <v>0.73457714632388493</v>
      </c>
      <c r="I6" s="29">
        <v>0.72730410527117306</v>
      </c>
      <c r="J6" s="29">
        <v>0.72010307452591393</v>
      </c>
      <c r="K6" s="29">
        <v>0.71297334111476618</v>
      </c>
      <c r="L6" s="29">
        <v>0.70591419912353093</v>
      </c>
      <c r="M6" s="29">
        <v>0.69892494962725837</v>
      </c>
      <c r="N6" s="29">
        <v>8.8641177796462483</v>
      </c>
    </row>
    <row r="7" spans="1:72" x14ac:dyDescent="0.35">
      <c r="A7" s="10" t="s">
        <v>80</v>
      </c>
      <c r="B7" s="10">
        <v>37</v>
      </c>
      <c r="C7" s="10">
        <v>38</v>
      </c>
      <c r="D7" s="10">
        <v>39</v>
      </c>
      <c r="E7" s="10">
        <v>40</v>
      </c>
      <c r="F7" s="10">
        <v>41</v>
      </c>
      <c r="G7" s="10">
        <v>42</v>
      </c>
      <c r="H7" s="10">
        <v>43</v>
      </c>
      <c r="I7" s="10">
        <v>44</v>
      </c>
      <c r="J7" s="10">
        <v>45</v>
      </c>
      <c r="K7" s="10">
        <v>46</v>
      </c>
      <c r="L7" s="10">
        <v>47</v>
      </c>
      <c r="M7" s="10">
        <v>48</v>
      </c>
      <c r="N7" s="29"/>
    </row>
    <row r="8" spans="1:72" ht="18.5" x14ac:dyDescent="0.35">
      <c r="A8" s="31" t="s">
        <v>28</v>
      </c>
      <c r="B8" s="29">
        <v>0.69200490062104791</v>
      </c>
      <c r="C8" s="29">
        <v>0.68515336695153251</v>
      </c>
      <c r="D8" s="29">
        <v>0.67836967024904204</v>
      </c>
      <c r="E8" s="29">
        <v>0.67165313886043765</v>
      </c>
      <c r="F8" s="29">
        <v>0.66500310778261151</v>
      </c>
      <c r="G8" s="29">
        <v>0.65841891859664503</v>
      </c>
      <c r="H8" s="29">
        <v>0.65189991940261882</v>
      </c>
      <c r="I8" s="29">
        <v>0.64544546475506814</v>
      </c>
      <c r="J8" s="29">
        <v>0.63905491559907734</v>
      </c>
      <c r="K8" s="29">
        <v>0.63272763920700725</v>
      </c>
      <c r="L8" s="29">
        <v>0.62646300911584885</v>
      </c>
      <c r="M8" s="29">
        <v>0.62026040506519675</v>
      </c>
      <c r="N8" s="29">
        <v>7.8664544562061343</v>
      </c>
    </row>
    <row r="9" spans="1:72" x14ac:dyDescent="0.35">
      <c r="A9" s="10" t="s">
        <v>80</v>
      </c>
      <c r="B9" s="10">
        <v>49</v>
      </c>
      <c r="C9" s="10">
        <v>50</v>
      </c>
      <c r="D9" s="10">
        <v>51</v>
      </c>
      <c r="E9" s="10">
        <v>52</v>
      </c>
      <c r="F9" s="10">
        <v>53</v>
      </c>
      <c r="G9" s="10">
        <v>54</v>
      </c>
      <c r="H9" s="10">
        <v>55</v>
      </c>
      <c r="I9" s="10">
        <v>56</v>
      </c>
      <c r="J9" s="10">
        <v>57</v>
      </c>
      <c r="K9" s="10">
        <v>58</v>
      </c>
      <c r="L9" s="10">
        <v>59</v>
      </c>
      <c r="M9" s="10">
        <v>60</v>
      </c>
      <c r="N9" s="29"/>
    </row>
    <row r="10" spans="1:72" ht="18.5" x14ac:dyDescent="0.35">
      <c r="A10" s="31" t="s">
        <v>28</v>
      </c>
      <c r="B10" s="29">
        <v>0.61411921293583838</v>
      </c>
      <c r="C10" s="29">
        <v>0.60803882468894888</v>
      </c>
      <c r="D10" s="29">
        <v>0.60201863830588997</v>
      </c>
      <c r="E10" s="29">
        <v>0.59605805772860387</v>
      </c>
      <c r="F10" s="29">
        <v>0.5901564928005979</v>
      </c>
      <c r="G10" s="29">
        <v>0.58431335920851268</v>
      </c>
      <c r="H10" s="29">
        <v>0.57852807842427012</v>
      </c>
      <c r="I10" s="29">
        <v>0.57280007764779206</v>
      </c>
      <c r="J10" s="29">
        <v>0.56712878975028913</v>
      </c>
      <c r="K10" s="29">
        <v>0.56151365321810809</v>
      </c>
      <c r="L10" s="29">
        <v>0.55595411209713674</v>
      </c>
      <c r="M10" s="29">
        <v>0.5504496159377591</v>
      </c>
      <c r="N10" s="29">
        <v>6.9810789127437474</v>
      </c>
      <c r="AV10">
        <f>1.4*M8</f>
        <v>0.86836456709127541</v>
      </c>
      <c r="BH10">
        <f>1.4*M10</f>
        <v>0.77062946231286267</v>
      </c>
      <c r="BT10">
        <f>1.4*M12</f>
        <v>0.68389451929605183</v>
      </c>
    </row>
    <row r="11" spans="1:72" x14ac:dyDescent="0.35">
      <c r="A11" s="10" t="s">
        <v>80</v>
      </c>
      <c r="B11" s="10">
        <v>61</v>
      </c>
      <c r="C11" s="10">
        <v>62</v>
      </c>
      <c r="D11" s="10">
        <v>63</v>
      </c>
      <c r="E11" s="10">
        <v>64</v>
      </c>
      <c r="F11" s="10">
        <v>65</v>
      </c>
      <c r="G11" s="10">
        <v>66</v>
      </c>
      <c r="H11" s="10">
        <v>67</v>
      </c>
      <c r="I11" s="10">
        <v>68</v>
      </c>
      <c r="J11" s="10">
        <v>69</v>
      </c>
      <c r="K11" s="10">
        <v>70</v>
      </c>
      <c r="L11" s="10">
        <v>71</v>
      </c>
      <c r="M11" s="10">
        <v>72</v>
      </c>
      <c r="N11" s="29"/>
    </row>
    <row r="12" spans="1:72" ht="18.5" x14ac:dyDescent="0.35">
      <c r="A12" s="31" t="s">
        <v>28</v>
      </c>
      <c r="B12" s="29">
        <v>0.5449996197403556</v>
      </c>
      <c r="C12" s="29">
        <v>0.53960358390134222</v>
      </c>
      <c r="D12" s="29">
        <v>0.53426097415974472</v>
      </c>
      <c r="E12" s="29">
        <v>0.52897126154430163</v>
      </c>
      <c r="F12" s="29">
        <v>0.52373392232109073</v>
      </c>
      <c r="G12" s="29">
        <v>0.51854843794167393</v>
      </c>
      <c r="H12" s="29">
        <v>0.51341429499175639</v>
      </c>
      <c r="I12" s="29">
        <v>0.50833098514035291</v>
      </c>
      <c r="J12" s="29">
        <v>0.50329800508945832</v>
      </c>
      <c r="K12" s="29">
        <v>0.49831485652421609</v>
      </c>
      <c r="L12" s="29">
        <v>0.4933810460635803</v>
      </c>
      <c r="M12" s="29">
        <v>0.48849608521146559</v>
      </c>
      <c r="N12" s="29">
        <v>6.195353072629338</v>
      </c>
    </row>
    <row r="13" spans="1:72" x14ac:dyDescent="0.35">
      <c r="A13" s="10" t="s">
        <v>80</v>
      </c>
      <c r="B13" s="10">
        <v>73</v>
      </c>
      <c r="C13" s="10">
        <v>74</v>
      </c>
      <c r="D13" s="10">
        <v>75</v>
      </c>
      <c r="E13" s="10">
        <v>76</v>
      </c>
      <c r="F13" s="10">
        <v>77</v>
      </c>
      <c r="G13" s="10">
        <v>78</v>
      </c>
      <c r="H13" s="10">
        <v>79</v>
      </c>
      <c r="I13" s="10">
        <v>80</v>
      </c>
      <c r="J13" s="10">
        <v>81</v>
      </c>
      <c r="K13" s="10">
        <v>82</v>
      </c>
      <c r="L13" s="10">
        <v>83</v>
      </c>
      <c r="M13" s="10">
        <v>84</v>
      </c>
      <c r="N13" s="29"/>
    </row>
    <row r="14" spans="1:72" ht="18.5" x14ac:dyDescent="0.35">
      <c r="A14" s="31" t="s">
        <v>28</v>
      </c>
      <c r="B14" s="29">
        <v>0.48365949030838173</v>
      </c>
      <c r="C14" s="29">
        <v>0.47887078248354625</v>
      </c>
      <c r="D14" s="29">
        <v>0.47412948760747159</v>
      </c>
      <c r="E14" s="29">
        <v>0.46943513624502137</v>
      </c>
      <c r="F14" s="29">
        <v>0.46478726360893202</v>
      </c>
      <c r="G14" s="29">
        <v>0.46018540951379405</v>
      </c>
      <c r="H14" s="29">
        <v>0.45562911833048919</v>
      </c>
      <c r="I14" s="29">
        <v>0.45111793894107832</v>
      </c>
      <c r="J14" s="29">
        <v>0.44665142469413699</v>
      </c>
      <c r="K14" s="29">
        <v>0.44222913336053166</v>
      </c>
      <c r="L14" s="29">
        <v>0.43785062708963529</v>
      </c>
      <c r="M14" s="29">
        <v>0.43351547236597548</v>
      </c>
      <c r="N14" s="29">
        <v>5.498061284548994</v>
      </c>
    </row>
    <row r="15" spans="1:72" x14ac:dyDescent="0.35">
      <c r="A15" s="10"/>
      <c r="B15" s="10"/>
      <c r="C15" s="10"/>
      <c r="D15" s="10"/>
      <c r="E15" s="10"/>
      <c r="F15" s="10"/>
      <c r="G15" s="10"/>
      <c r="H15" s="10"/>
      <c r="I15" s="10"/>
      <c r="J15" s="10"/>
      <c r="K15" s="10"/>
      <c r="L15" s="10"/>
      <c r="M15" s="10" t="s">
        <v>53</v>
      </c>
      <c r="N15" s="32">
        <f>SUM(N2:N14)</f>
        <v>56.648452763402311</v>
      </c>
    </row>
    <row r="16" spans="1:72" x14ac:dyDescent="0.35">
      <c r="B16" s="8">
        <v>1</v>
      </c>
      <c r="C16" s="8">
        <v>2</v>
      </c>
      <c r="D16" s="8">
        <v>3</v>
      </c>
      <c r="E16">
        <v>4</v>
      </c>
      <c r="F16">
        <v>5</v>
      </c>
      <c r="G16">
        <v>6</v>
      </c>
      <c r="H16">
        <v>7</v>
      </c>
      <c r="I16">
        <v>8</v>
      </c>
      <c r="J16">
        <v>9</v>
      </c>
      <c r="K16">
        <v>10</v>
      </c>
      <c r="L16">
        <v>11</v>
      </c>
      <c r="M16">
        <v>12</v>
      </c>
    </row>
    <row r="17" spans="2:14" x14ac:dyDescent="0.35">
      <c r="B17" s="97" t="e">
        <f>+(1/(1+#REF!/12))^B16</f>
        <v>#REF!</v>
      </c>
      <c r="C17" s="97" t="e">
        <f>+(1/(1+#REF!/12))^C16</f>
        <v>#REF!</v>
      </c>
      <c r="D17" s="97" t="e">
        <f>+(1/(1+#REF!/12))^D16</f>
        <v>#REF!</v>
      </c>
      <c r="E17" t="e">
        <f>+(1/(1+#REF!/12))^E16</f>
        <v>#REF!</v>
      </c>
      <c r="F17" t="e">
        <f>+(1/(1+#REF!/12))^F16</f>
        <v>#REF!</v>
      </c>
      <c r="G17" t="e">
        <f>+(1/(1+#REF!/12))^G16</f>
        <v>#REF!</v>
      </c>
      <c r="H17" t="e">
        <f>+(1/(1+#REF!/12))^H16</f>
        <v>#REF!</v>
      </c>
      <c r="I17" t="e">
        <f>+(1/(1+#REF!/12))^I16</f>
        <v>#REF!</v>
      </c>
      <c r="J17" t="e">
        <f>+(1/(1+#REF!/12))^J16</f>
        <v>#REF!</v>
      </c>
      <c r="K17" t="e">
        <f>+(1/(1+#REF!/12))^K16</f>
        <v>#REF!</v>
      </c>
      <c r="L17" t="e">
        <f>+(1/(1+#REF!/12))^L16</f>
        <v>#REF!</v>
      </c>
      <c r="M17" t="e">
        <f>+(1/(1+#REF!/12))^M16</f>
        <v>#REF!</v>
      </c>
      <c r="N17" s="22" t="e">
        <f>SUM(B17:M17)</f>
        <v>#REF!</v>
      </c>
    </row>
    <row r="18" spans="2:14" x14ac:dyDescent="0.35">
      <c r="B18">
        <f>+M16+1</f>
        <v>13</v>
      </c>
      <c r="C18">
        <f t="shared" ref="C18:M18" si="0">+B18+1</f>
        <v>14</v>
      </c>
      <c r="D18">
        <f t="shared" si="0"/>
        <v>15</v>
      </c>
      <c r="E18">
        <f t="shared" si="0"/>
        <v>16</v>
      </c>
      <c r="F18">
        <f t="shared" si="0"/>
        <v>17</v>
      </c>
      <c r="G18">
        <f t="shared" si="0"/>
        <v>18</v>
      </c>
      <c r="H18">
        <f t="shared" si="0"/>
        <v>19</v>
      </c>
      <c r="I18">
        <f t="shared" si="0"/>
        <v>20</v>
      </c>
      <c r="J18">
        <f t="shared" si="0"/>
        <v>21</v>
      </c>
      <c r="K18">
        <f t="shared" si="0"/>
        <v>22</v>
      </c>
      <c r="L18">
        <f t="shared" si="0"/>
        <v>23</v>
      </c>
      <c r="M18">
        <f t="shared" si="0"/>
        <v>24</v>
      </c>
      <c r="N18" s="22"/>
    </row>
    <row r="19" spans="2:14" x14ac:dyDescent="0.35">
      <c r="B19" t="e">
        <f>+(1/(1+#REF!/12))^B18</f>
        <v>#REF!</v>
      </c>
      <c r="C19" t="e">
        <f>+(1/(1+#REF!/12))^C18</f>
        <v>#REF!</v>
      </c>
      <c r="D19" t="e">
        <f>+(1/(1+#REF!/12))^D18</f>
        <v>#REF!</v>
      </c>
      <c r="E19" t="e">
        <f>+(1/(1+#REF!/12))^E18</f>
        <v>#REF!</v>
      </c>
      <c r="F19" t="e">
        <f>+(1/(1+#REF!/12))^F18</f>
        <v>#REF!</v>
      </c>
      <c r="G19" t="e">
        <f>+(1/(1+#REF!/12))^G18</f>
        <v>#REF!</v>
      </c>
      <c r="H19" t="e">
        <f>+(1/(1+#REF!/12))^H18</f>
        <v>#REF!</v>
      </c>
      <c r="I19" t="e">
        <f>+(1/(1+#REF!/12))^I18</f>
        <v>#REF!</v>
      </c>
      <c r="J19" t="e">
        <f>+(1/(1+#REF!/12))^J18</f>
        <v>#REF!</v>
      </c>
      <c r="K19" t="e">
        <f>+(1/(1+#REF!/12))^K18</f>
        <v>#REF!</v>
      </c>
      <c r="L19" t="e">
        <f>+(1/(1+#REF!/12))^L18</f>
        <v>#REF!</v>
      </c>
      <c r="M19" t="e">
        <f>+(1/(1+#REF!/12))^M18</f>
        <v>#REF!</v>
      </c>
      <c r="N19" s="22" t="e">
        <f>SUM(B19:M19)</f>
        <v>#REF!</v>
      </c>
    </row>
    <row r="20" spans="2:14" x14ac:dyDescent="0.35">
      <c r="B20">
        <f>+M18+1</f>
        <v>25</v>
      </c>
      <c r="C20">
        <f t="shared" ref="C20:M20" si="1">+B20+1</f>
        <v>26</v>
      </c>
      <c r="D20">
        <f t="shared" si="1"/>
        <v>27</v>
      </c>
      <c r="E20">
        <f t="shared" si="1"/>
        <v>28</v>
      </c>
      <c r="F20">
        <f t="shared" si="1"/>
        <v>29</v>
      </c>
      <c r="G20">
        <f t="shared" si="1"/>
        <v>30</v>
      </c>
      <c r="H20">
        <f t="shared" si="1"/>
        <v>31</v>
      </c>
      <c r="I20">
        <f t="shared" si="1"/>
        <v>32</v>
      </c>
      <c r="J20">
        <f t="shared" si="1"/>
        <v>33</v>
      </c>
      <c r="K20">
        <f t="shared" si="1"/>
        <v>34</v>
      </c>
      <c r="L20">
        <f t="shared" si="1"/>
        <v>35</v>
      </c>
      <c r="M20">
        <f t="shared" si="1"/>
        <v>36</v>
      </c>
      <c r="N20" s="22"/>
    </row>
    <row r="21" spans="2:14" x14ac:dyDescent="0.35">
      <c r="B21" t="e">
        <f>+(1/(1+#REF!/12))^B20</f>
        <v>#REF!</v>
      </c>
      <c r="C21" t="e">
        <f>+(1/(1+#REF!/12))^C20</f>
        <v>#REF!</v>
      </c>
      <c r="D21" t="e">
        <f>+(1/(1+#REF!/12))^D20</f>
        <v>#REF!</v>
      </c>
      <c r="E21" t="e">
        <f>+(1/(1+#REF!/12))^E20</f>
        <v>#REF!</v>
      </c>
      <c r="F21" t="e">
        <f>+(1/(1+#REF!/12))^F20</f>
        <v>#REF!</v>
      </c>
      <c r="G21" t="e">
        <f>+(1/(1+#REF!/12))^G20</f>
        <v>#REF!</v>
      </c>
      <c r="H21" t="e">
        <f>+(1/(1+#REF!/12))^H20</f>
        <v>#REF!</v>
      </c>
      <c r="I21" t="e">
        <f>+(1/(1+#REF!/12))^I20</f>
        <v>#REF!</v>
      </c>
      <c r="J21" t="e">
        <f>+(1/(1+#REF!/12))^J20</f>
        <v>#REF!</v>
      </c>
      <c r="K21" t="e">
        <f>+(1/(1+#REF!/12))^K20</f>
        <v>#REF!</v>
      </c>
      <c r="L21" t="e">
        <f>+(1/(1+#REF!/12))^L20</f>
        <v>#REF!</v>
      </c>
      <c r="M21" t="e">
        <f>+(1/(1+#REF!/12))^M20</f>
        <v>#REF!</v>
      </c>
      <c r="N21" s="22" t="e">
        <f>SUM(B21:M21)</f>
        <v>#REF!</v>
      </c>
    </row>
    <row r="22" spans="2:14" x14ac:dyDescent="0.35">
      <c r="B22">
        <f>+M20+1</f>
        <v>37</v>
      </c>
      <c r="C22">
        <f t="shared" ref="C22:M22" si="2">+B22+1</f>
        <v>38</v>
      </c>
      <c r="D22">
        <f t="shared" si="2"/>
        <v>39</v>
      </c>
      <c r="E22">
        <f t="shared" si="2"/>
        <v>40</v>
      </c>
      <c r="F22">
        <f t="shared" si="2"/>
        <v>41</v>
      </c>
      <c r="G22">
        <f t="shared" si="2"/>
        <v>42</v>
      </c>
      <c r="H22">
        <f t="shared" si="2"/>
        <v>43</v>
      </c>
      <c r="I22">
        <f t="shared" si="2"/>
        <v>44</v>
      </c>
      <c r="J22">
        <f t="shared" si="2"/>
        <v>45</v>
      </c>
      <c r="K22">
        <f t="shared" si="2"/>
        <v>46</v>
      </c>
      <c r="L22">
        <f t="shared" si="2"/>
        <v>47</v>
      </c>
      <c r="M22">
        <f t="shared" si="2"/>
        <v>48</v>
      </c>
      <c r="N22" s="22"/>
    </row>
    <row r="23" spans="2:14" x14ac:dyDescent="0.35">
      <c r="B23" t="e">
        <f>+(1/(1+#REF!/12))^B22</f>
        <v>#REF!</v>
      </c>
      <c r="C23" t="e">
        <f>+(1/(1+#REF!/12))^C22</f>
        <v>#REF!</v>
      </c>
      <c r="D23" t="e">
        <f>+(1/(1+#REF!/12))^D22</f>
        <v>#REF!</v>
      </c>
      <c r="E23" t="e">
        <f>+(1/(1+#REF!/12))^E22</f>
        <v>#REF!</v>
      </c>
      <c r="F23" t="e">
        <f>+(1/(1+#REF!/12))^F22</f>
        <v>#REF!</v>
      </c>
      <c r="G23" t="e">
        <f>+(1/(1+#REF!/12))^G22</f>
        <v>#REF!</v>
      </c>
      <c r="H23" t="e">
        <f>+(1/(1+#REF!/12))^H22</f>
        <v>#REF!</v>
      </c>
      <c r="I23" t="e">
        <f>+(1/(1+#REF!/12))^I22</f>
        <v>#REF!</v>
      </c>
      <c r="J23" t="e">
        <f>+(1/(1+#REF!/12))^J22</f>
        <v>#REF!</v>
      </c>
      <c r="K23" t="e">
        <f>+(1/(1+#REF!/12))^K22</f>
        <v>#REF!</v>
      </c>
      <c r="L23" t="e">
        <f>+(1/(1+#REF!/12))^L22</f>
        <v>#REF!</v>
      </c>
      <c r="M23" t="e">
        <f>+(1/(1+#REF!/12))^M22</f>
        <v>#REF!</v>
      </c>
      <c r="N23" s="22" t="e">
        <f>SUM(B23:M23)</f>
        <v>#REF!</v>
      </c>
    </row>
    <row r="24" spans="2:14" x14ac:dyDescent="0.35">
      <c r="B24">
        <f>+M22+1</f>
        <v>49</v>
      </c>
      <c r="C24">
        <f t="shared" ref="C24:M24" si="3">+B24+1</f>
        <v>50</v>
      </c>
      <c r="D24">
        <f t="shared" si="3"/>
        <v>51</v>
      </c>
      <c r="E24">
        <f t="shared" si="3"/>
        <v>52</v>
      </c>
      <c r="F24">
        <f t="shared" si="3"/>
        <v>53</v>
      </c>
      <c r="G24">
        <f t="shared" si="3"/>
        <v>54</v>
      </c>
      <c r="H24">
        <f t="shared" si="3"/>
        <v>55</v>
      </c>
      <c r="I24">
        <f t="shared" si="3"/>
        <v>56</v>
      </c>
      <c r="J24">
        <f t="shared" si="3"/>
        <v>57</v>
      </c>
      <c r="K24">
        <f t="shared" si="3"/>
        <v>58</v>
      </c>
      <c r="L24">
        <f t="shared" si="3"/>
        <v>59</v>
      </c>
      <c r="M24">
        <f t="shared" si="3"/>
        <v>60</v>
      </c>
      <c r="N24" s="22"/>
    </row>
    <row r="25" spans="2:14" x14ac:dyDescent="0.35">
      <c r="B25" t="e">
        <f>+(1/(1+#REF!/12))^B24</f>
        <v>#REF!</v>
      </c>
      <c r="C25" t="e">
        <f>+(1/(1+#REF!/12))^C24</f>
        <v>#REF!</v>
      </c>
      <c r="D25" t="e">
        <f>+(1/(1+#REF!/12))^D24</f>
        <v>#REF!</v>
      </c>
      <c r="E25" t="e">
        <f>+(1/(1+#REF!/12))^E24</f>
        <v>#REF!</v>
      </c>
      <c r="F25" t="e">
        <f>+(1/(1+#REF!/12))^F24</f>
        <v>#REF!</v>
      </c>
      <c r="G25" t="e">
        <f>+(1/(1+#REF!/12))^G24</f>
        <v>#REF!</v>
      </c>
      <c r="H25" t="e">
        <f>+(1/(1+#REF!/12))^H24</f>
        <v>#REF!</v>
      </c>
      <c r="I25" t="e">
        <f>+(1/(1+#REF!/12))^I24</f>
        <v>#REF!</v>
      </c>
      <c r="J25" t="e">
        <f>+(1/(1+#REF!/12))^J24</f>
        <v>#REF!</v>
      </c>
      <c r="K25" t="e">
        <f>+(1/(1+#REF!/12))^K24</f>
        <v>#REF!</v>
      </c>
      <c r="L25" t="e">
        <f>+(1/(1+#REF!/12))^L24</f>
        <v>#REF!</v>
      </c>
      <c r="M25" t="e">
        <f>+(1/(1+#REF!/12))^M24</f>
        <v>#REF!</v>
      </c>
      <c r="N25" s="22" t="e">
        <f>SUM(B25:M25)</f>
        <v>#REF!</v>
      </c>
    </row>
    <row r="26" spans="2:14" x14ac:dyDescent="0.35">
      <c r="B26">
        <f>+M24+1</f>
        <v>61</v>
      </c>
      <c r="C26">
        <f t="shared" ref="C26:M26" si="4">+B26+1</f>
        <v>62</v>
      </c>
      <c r="D26">
        <f t="shared" si="4"/>
        <v>63</v>
      </c>
      <c r="E26">
        <f t="shared" si="4"/>
        <v>64</v>
      </c>
      <c r="F26">
        <f t="shared" si="4"/>
        <v>65</v>
      </c>
      <c r="G26">
        <f t="shared" si="4"/>
        <v>66</v>
      </c>
      <c r="H26">
        <f t="shared" si="4"/>
        <v>67</v>
      </c>
      <c r="I26">
        <f t="shared" si="4"/>
        <v>68</v>
      </c>
      <c r="J26">
        <f t="shared" si="4"/>
        <v>69</v>
      </c>
      <c r="K26">
        <f t="shared" si="4"/>
        <v>70</v>
      </c>
      <c r="L26">
        <f t="shared" si="4"/>
        <v>71</v>
      </c>
      <c r="M26">
        <f t="shared" si="4"/>
        <v>72</v>
      </c>
      <c r="N26" s="22"/>
    </row>
    <row r="27" spans="2:14" x14ac:dyDescent="0.35">
      <c r="B27" t="e">
        <f>+(1/(1+#REF!/12))^B26</f>
        <v>#REF!</v>
      </c>
      <c r="C27" t="e">
        <f>+(1/(1+#REF!/12))^C26</f>
        <v>#REF!</v>
      </c>
      <c r="D27" t="e">
        <f>+(1/(1+#REF!/12))^D26</f>
        <v>#REF!</v>
      </c>
      <c r="E27" t="e">
        <f>+(1/(1+#REF!/12))^E26</f>
        <v>#REF!</v>
      </c>
      <c r="F27" t="e">
        <f>+(1/(1+#REF!/12))^F26</f>
        <v>#REF!</v>
      </c>
      <c r="G27" t="e">
        <f>+(1/(1+#REF!/12))^G26</f>
        <v>#REF!</v>
      </c>
      <c r="H27" t="e">
        <f>+(1/(1+#REF!/12))^H26</f>
        <v>#REF!</v>
      </c>
      <c r="I27" t="e">
        <f>+(1/(1+#REF!/12))^I26</f>
        <v>#REF!</v>
      </c>
      <c r="J27" t="e">
        <f>+(1/(1+#REF!/12))^J26</f>
        <v>#REF!</v>
      </c>
      <c r="K27" t="e">
        <f>+(1/(1+#REF!/12))^K26</f>
        <v>#REF!</v>
      </c>
      <c r="L27" t="e">
        <f>+(1/(1+#REF!/12))^L26</f>
        <v>#REF!</v>
      </c>
      <c r="M27" t="e">
        <f>+(1/(1+#REF!/12))^M26</f>
        <v>#REF!</v>
      </c>
      <c r="N27" s="22" t="e">
        <f>SUM(B27:M27)</f>
        <v>#REF!</v>
      </c>
    </row>
    <row r="28" spans="2:14" x14ac:dyDescent="0.35">
      <c r="B28">
        <f>+M26+1</f>
        <v>73</v>
      </c>
      <c r="C28">
        <f t="shared" ref="C28:M28" si="5">+B28+1</f>
        <v>74</v>
      </c>
      <c r="D28">
        <f t="shared" si="5"/>
        <v>75</v>
      </c>
      <c r="E28">
        <f t="shared" si="5"/>
        <v>76</v>
      </c>
      <c r="F28">
        <f t="shared" si="5"/>
        <v>77</v>
      </c>
      <c r="G28">
        <f t="shared" si="5"/>
        <v>78</v>
      </c>
      <c r="H28">
        <f t="shared" si="5"/>
        <v>79</v>
      </c>
      <c r="I28">
        <f t="shared" si="5"/>
        <v>80</v>
      </c>
      <c r="J28">
        <f t="shared" si="5"/>
        <v>81</v>
      </c>
      <c r="K28">
        <f t="shared" si="5"/>
        <v>82</v>
      </c>
      <c r="L28">
        <f t="shared" si="5"/>
        <v>83</v>
      </c>
      <c r="M28">
        <f t="shared" si="5"/>
        <v>84</v>
      </c>
      <c r="N28" s="22"/>
    </row>
    <row r="29" spans="2:14" x14ac:dyDescent="0.35">
      <c r="B29" t="e">
        <f>+(1/(1+#REF!/12))^B28</f>
        <v>#REF!</v>
      </c>
      <c r="C29" t="e">
        <f>+(1/(1+#REF!/12))^C28</f>
        <v>#REF!</v>
      </c>
      <c r="D29" t="e">
        <f>+(1/(1+#REF!/12))^D28</f>
        <v>#REF!</v>
      </c>
      <c r="E29" t="e">
        <f>+(1/(1+#REF!/12))^E28</f>
        <v>#REF!</v>
      </c>
      <c r="F29" t="e">
        <f>+(1/(1+#REF!/12))^F28</f>
        <v>#REF!</v>
      </c>
      <c r="G29" t="e">
        <f>+(1/(1+#REF!/12))^G28</f>
        <v>#REF!</v>
      </c>
      <c r="H29" t="e">
        <f>+(1/(1+#REF!/12))^H28</f>
        <v>#REF!</v>
      </c>
      <c r="I29" t="e">
        <f>+(1/(1+#REF!/12))^I28</f>
        <v>#REF!</v>
      </c>
      <c r="J29" t="e">
        <f>+(1/(1+#REF!/12))^J28</f>
        <v>#REF!</v>
      </c>
      <c r="K29" t="e">
        <f>+(1/(1+#REF!/12))^K28</f>
        <v>#REF!</v>
      </c>
      <c r="L29" t="e">
        <f>+(1/(1+#REF!/12))^L28</f>
        <v>#REF!</v>
      </c>
      <c r="M29" t="e">
        <f>+(1/(1+#REF!/12))^M28</f>
        <v>#REF!</v>
      </c>
      <c r="N29" s="22" t="e">
        <f>SUM(B29:M29)</f>
        <v>#REF!</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R134"/>
  <sheetViews>
    <sheetView workbookViewId="0">
      <selection activeCell="L12" sqref="L12"/>
    </sheetView>
  </sheetViews>
  <sheetFormatPr defaultColWidth="8.9140625" defaultRowHeight="15.5" x14ac:dyDescent="0.35"/>
  <cols>
    <col min="1" max="1" width="3.58203125" customWidth="1"/>
    <col min="2" max="2" width="5" customWidth="1"/>
    <col min="3" max="3" width="5.08203125" customWidth="1"/>
    <col min="4" max="4" width="5.5" customWidth="1"/>
    <col min="5" max="12" width="7.58203125" customWidth="1"/>
    <col min="13" max="13" width="8.9140625" customWidth="1"/>
    <col min="14" max="14" width="14.58203125" customWidth="1"/>
    <col min="15" max="16" width="8.9140625" customWidth="1"/>
    <col min="17" max="17" width="11.58203125" customWidth="1"/>
  </cols>
  <sheetData>
    <row r="1" spans="1:18" x14ac:dyDescent="0.35">
      <c r="B1" t="s">
        <v>77</v>
      </c>
      <c r="F1">
        <v>0</v>
      </c>
      <c r="G1">
        <v>0.05</v>
      </c>
      <c r="H1">
        <v>0.1</v>
      </c>
      <c r="I1">
        <f>+H1+0.05</f>
        <v>0.15000000000000002</v>
      </c>
      <c r="J1">
        <f>+I1+0.05</f>
        <v>0.2</v>
      </c>
      <c r="K1">
        <f>+J1+0.05</f>
        <v>0.25</v>
      </c>
      <c r="L1">
        <f>+K1+0.05</f>
        <v>0.3</v>
      </c>
      <c r="N1" t="s">
        <v>79</v>
      </c>
      <c r="O1" t="s">
        <v>77</v>
      </c>
      <c r="P1" t="s">
        <v>80</v>
      </c>
      <c r="Q1" t="s">
        <v>81</v>
      </c>
      <c r="R1" t="s">
        <v>82</v>
      </c>
    </row>
    <row r="2" spans="1:18" x14ac:dyDescent="0.35">
      <c r="A2" t="s">
        <v>83</v>
      </c>
      <c r="B2">
        <v>-100</v>
      </c>
      <c r="C2">
        <v>-50</v>
      </c>
      <c r="D2">
        <v>-50</v>
      </c>
      <c r="E2">
        <v>-50</v>
      </c>
      <c r="F2" s="4">
        <f t="shared" ref="F2:L2" si="0">+$B$2+$C$2/(1+F$1)+$D$2/(1+F$1)^2+$E$2/(1+F$1)^3</f>
        <v>-250</v>
      </c>
      <c r="G2" s="4">
        <f t="shared" si="0"/>
        <v>-236.16240146852391</v>
      </c>
      <c r="H2" s="5">
        <f t="shared" si="0"/>
        <v>-224.34259954921109</v>
      </c>
      <c r="I2" s="5">
        <f t="shared" si="0"/>
        <v>-214.16125585600395</v>
      </c>
      <c r="J2" s="5">
        <f t="shared" si="0"/>
        <v>-205.3240740740741</v>
      </c>
      <c r="K2" s="5">
        <f t="shared" si="0"/>
        <v>-197.6</v>
      </c>
      <c r="L2" s="5">
        <f t="shared" si="0"/>
        <v>-190.80564406008193</v>
      </c>
      <c r="N2" s="6">
        <v>14.5</v>
      </c>
      <c r="O2">
        <f>0.1/12</f>
        <v>8.3333333333333332E-3</v>
      </c>
      <c r="P2">
        <v>84</v>
      </c>
      <c r="Q2">
        <v>100</v>
      </c>
      <c r="R2">
        <f>N2/Q2</f>
        <v>0.14499999999999999</v>
      </c>
    </row>
    <row r="3" spans="1:18" x14ac:dyDescent="0.35">
      <c r="A3" t="s">
        <v>84</v>
      </c>
      <c r="B3">
        <v>-150</v>
      </c>
      <c r="C3">
        <v>-30</v>
      </c>
      <c r="D3">
        <v>-30</v>
      </c>
      <c r="E3">
        <v>-30</v>
      </c>
      <c r="F3" s="4">
        <f t="shared" ref="F3:L3" si="1">+$B$3+$C$3/(1+F$1)+$D$3/(1+F$1)^2+$E$3/(1+F$1)^3</f>
        <v>-240</v>
      </c>
      <c r="G3" s="4">
        <f t="shared" si="1"/>
        <v>-231.69744088111435</v>
      </c>
      <c r="H3" s="4">
        <f t="shared" si="1"/>
        <v>-224.60555972952668</v>
      </c>
      <c r="I3" s="4">
        <f t="shared" si="1"/>
        <v>-218.49675351360239</v>
      </c>
      <c r="J3" s="4">
        <f t="shared" si="1"/>
        <v>-213.19444444444446</v>
      </c>
      <c r="K3" s="4">
        <f t="shared" si="1"/>
        <v>-208.56</v>
      </c>
      <c r="L3" s="4">
        <f t="shared" si="1"/>
        <v>-204.48338643604913</v>
      </c>
      <c r="N3" t="s">
        <v>85</v>
      </c>
      <c r="O3" t="s">
        <v>86</v>
      </c>
      <c r="P3" t="e">
        <f>+SUM(P4:P95)</f>
        <v>#REF!</v>
      </c>
      <c r="Q3" t="e">
        <f>+R2/P3</f>
        <v>#REF!</v>
      </c>
    </row>
    <row r="4" spans="1:18" x14ac:dyDescent="0.35">
      <c r="A4" t="s">
        <v>87</v>
      </c>
      <c r="B4">
        <v>-200</v>
      </c>
      <c r="C4">
        <v>-10</v>
      </c>
      <c r="D4">
        <v>-10</v>
      </c>
      <c r="E4">
        <v>-10</v>
      </c>
      <c r="F4" s="7">
        <f t="shared" ref="F4:L4" si="2">+$B$4+$C$4/(1+F$1)+$D$4/(1+F$1)^2+$E$4/(1+F$1)^3</f>
        <v>-230</v>
      </c>
      <c r="G4" s="5">
        <f t="shared" si="2"/>
        <v>-227.23248029370478</v>
      </c>
      <c r="H4" s="4">
        <f t="shared" si="2"/>
        <v>-224.86851990984221</v>
      </c>
      <c r="I4" s="4">
        <f t="shared" si="2"/>
        <v>-222.83225117120077</v>
      </c>
      <c r="J4" s="4">
        <f t="shared" si="2"/>
        <v>-221.06481481481484</v>
      </c>
      <c r="K4" s="4">
        <f t="shared" si="2"/>
        <v>-219.52</v>
      </c>
      <c r="L4" s="4">
        <f t="shared" si="2"/>
        <v>-218.16112881201636</v>
      </c>
      <c r="N4">
        <v>1</v>
      </c>
      <c r="O4">
        <f>IF(N4&gt;=$P$2+1,0,N4)</f>
        <v>1</v>
      </c>
      <c r="P4">
        <f>1/(1+$O$2)^N4*IF(O4&gt;0,1,0)</f>
        <v>0.99173553719008267</v>
      </c>
    </row>
    <row r="5" spans="1:18" x14ac:dyDescent="0.35">
      <c r="N5">
        <v>2</v>
      </c>
      <c r="O5">
        <f t="shared" ref="O5:O60" si="3">IF(N5&gt;=$P$2+1,0,N5)</f>
        <v>2</v>
      </c>
      <c r="P5">
        <f t="shared" ref="P5:P35" si="4">1/(1+$O$2)^N5*IF(O5&gt;0,1,0)</f>
        <v>0.98353937572570183</v>
      </c>
    </row>
    <row r="6" spans="1:18" x14ac:dyDescent="0.35">
      <c r="A6" t="s">
        <v>88</v>
      </c>
      <c r="N6">
        <v>3</v>
      </c>
      <c r="O6">
        <f t="shared" si="3"/>
        <v>3</v>
      </c>
      <c r="P6">
        <f t="shared" si="4"/>
        <v>0.97541095113292753</v>
      </c>
    </row>
    <row r="7" spans="1:18" x14ac:dyDescent="0.35">
      <c r="A7" t="s">
        <v>89</v>
      </c>
      <c r="N7">
        <v>4</v>
      </c>
      <c r="O7">
        <f t="shared" si="3"/>
        <v>4</v>
      </c>
      <c r="P7">
        <f t="shared" si="4"/>
        <v>0.9673497036029034</v>
      </c>
    </row>
    <row r="8" spans="1:18" x14ac:dyDescent="0.35">
      <c r="A8" t="s">
        <v>90</v>
      </c>
      <c r="H8" t="s">
        <v>91</v>
      </c>
      <c r="N8">
        <v>5</v>
      </c>
      <c r="O8">
        <f t="shared" si="3"/>
        <v>5</v>
      </c>
      <c r="P8">
        <f t="shared" si="4"/>
        <v>0.95935507795329267</v>
      </c>
    </row>
    <row r="9" spans="1:18" x14ac:dyDescent="0.35">
      <c r="H9">
        <v>0.1</v>
      </c>
      <c r="N9">
        <v>6</v>
      </c>
      <c r="O9">
        <f t="shared" si="3"/>
        <v>6</v>
      </c>
      <c r="P9">
        <f t="shared" si="4"/>
        <v>0.95142652359004232</v>
      </c>
    </row>
    <row r="10" spans="1:18" x14ac:dyDescent="0.35">
      <c r="A10" t="s">
        <v>83</v>
      </c>
      <c r="B10">
        <v>100</v>
      </c>
      <c r="D10">
        <v>100</v>
      </c>
      <c r="F10">
        <v>100</v>
      </c>
      <c r="H10">
        <f>+B10+C10/(1+$H$9)+D10/(1+$H$9)^2+E10/(1+$H$9)^3+F10/(1+$H$9)^4+G10/(1+$H$9)^2</f>
        <v>250.94597363568059</v>
      </c>
      <c r="I10">
        <f>14.5+100*0.0014*60.237</f>
        <v>22.93318</v>
      </c>
      <c r="N10">
        <v>7</v>
      </c>
      <c r="O10">
        <f t="shared" si="3"/>
        <v>7</v>
      </c>
      <c r="P10">
        <f t="shared" si="4"/>
        <v>0.94356349446946353</v>
      </c>
    </row>
    <row r="11" spans="1:18" x14ac:dyDescent="0.35">
      <c r="A11" t="s">
        <v>84</v>
      </c>
      <c r="B11">
        <v>145</v>
      </c>
      <c r="E11">
        <v>145</v>
      </c>
      <c r="H11">
        <f>+B11+C11/(1+$H$9)+D11/(1+$H$9)^2+E11/(1+$H$9)^3+F11/(1+$H$9)^4+G11/(1+$H$9)^2</f>
        <v>253.94064613072874</v>
      </c>
      <c r="I11">
        <f>7.41+100*0.00525*60.237</f>
        <v>39.034424999999999</v>
      </c>
      <c r="N11">
        <v>8</v>
      </c>
      <c r="O11">
        <f t="shared" si="3"/>
        <v>8</v>
      </c>
      <c r="P11">
        <f t="shared" si="4"/>
        <v>0.93576544906062498</v>
      </c>
    </row>
    <row r="12" spans="1:18" x14ac:dyDescent="0.35">
      <c r="N12">
        <v>9</v>
      </c>
      <c r="O12">
        <f t="shared" si="3"/>
        <v>9</v>
      </c>
      <c r="P12">
        <f t="shared" si="4"/>
        <v>0.9280318503080579</v>
      </c>
    </row>
    <row r="13" spans="1:18" x14ac:dyDescent="0.35">
      <c r="G13" t="s">
        <v>92</v>
      </c>
      <c r="H13">
        <f>SUM(H14:H20)</f>
        <v>7.4140640765550057</v>
      </c>
      <c r="I13" t="e">
        <f>+H13/P3/100</f>
        <v>#REF!</v>
      </c>
      <c r="N13">
        <f>+N12+1</f>
        <v>10</v>
      </c>
      <c r="O13">
        <f t="shared" si="3"/>
        <v>10</v>
      </c>
      <c r="P13">
        <f t="shared" si="4"/>
        <v>0.92036216559476813</v>
      </c>
    </row>
    <row r="14" spans="1:18" x14ac:dyDescent="0.35">
      <c r="G14">
        <v>0</v>
      </c>
      <c r="H14">
        <v>1.4</v>
      </c>
      <c r="N14">
        <f t="shared" ref="N14:N35" si="5">+N13+1</f>
        <v>11</v>
      </c>
      <c r="O14">
        <f t="shared" si="3"/>
        <v>11</v>
      </c>
      <c r="P14">
        <f t="shared" si="4"/>
        <v>0.91275586670555531</v>
      </c>
    </row>
    <row r="15" spans="1:18" x14ac:dyDescent="0.35">
      <c r="G15">
        <v>1</v>
      </c>
      <c r="H15">
        <f>$H$14/(1+0.1/12)^(G15*12)</f>
        <v>1.2672974017068865</v>
      </c>
      <c r="N15">
        <f t="shared" si="5"/>
        <v>12</v>
      </c>
      <c r="O15">
        <f t="shared" si="3"/>
        <v>12</v>
      </c>
      <c r="P15">
        <f t="shared" si="4"/>
        <v>0.90521242979063321</v>
      </c>
    </row>
    <row r="16" spans="1:18" x14ac:dyDescent="0.35">
      <c r="G16">
        <v>2</v>
      </c>
      <c r="H16">
        <f>1.4/(1+0.1/12)^(G16*12)</f>
        <v>1.1471733602664471</v>
      </c>
      <c r="N16">
        <f t="shared" si="5"/>
        <v>13</v>
      </c>
      <c r="O16">
        <f t="shared" si="3"/>
        <v>13</v>
      </c>
      <c r="P16">
        <f t="shared" si="4"/>
        <v>0.89773133532955385</v>
      </c>
    </row>
    <row r="17" spans="7:16" x14ac:dyDescent="0.35">
      <c r="G17">
        <v>3</v>
      </c>
      <c r="H17">
        <f>1.4/(1+0.1/12)^(G17*12)</f>
        <v>1.0384355848378763</v>
      </c>
      <c r="N17">
        <f t="shared" si="5"/>
        <v>14</v>
      </c>
      <c r="O17">
        <f t="shared" si="3"/>
        <v>14</v>
      </c>
      <c r="P17">
        <f t="shared" si="4"/>
        <v>0.89031206809542529</v>
      </c>
    </row>
    <row r="18" spans="7:16" x14ac:dyDescent="0.35">
      <c r="G18">
        <v>4</v>
      </c>
      <c r="H18">
        <f>1.4/(1+0.1/12)^(G18*12)</f>
        <v>0.94000479893215128</v>
      </c>
      <c r="N18">
        <f t="shared" si="5"/>
        <v>15</v>
      </c>
      <c r="O18">
        <f t="shared" si="3"/>
        <v>15</v>
      </c>
      <c r="P18">
        <f t="shared" si="4"/>
        <v>0.88295411711943006</v>
      </c>
    </row>
    <row r="19" spans="7:16" x14ac:dyDescent="0.35">
      <c r="G19">
        <v>5</v>
      </c>
      <c r="H19">
        <f>1.4/(1+0.1/12)^(G19*12)</f>
        <v>0.85090402805622822</v>
      </c>
      <c r="N19">
        <f t="shared" si="5"/>
        <v>16</v>
      </c>
      <c r="O19">
        <f t="shared" si="3"/>
        <v>16</v>
      </c>
      <c r="P19">
        <f t="shared" si="4"/>
        <v>0.87565697565563305</v>
      </c>
    </row>
    <row r="20" spans="7:16" x14ac:dyDescent="0.35">
      <c r="G20">
        <v>6</v>
      </c>
      <c r="H20">
        <f>1.4/(1+0.1/12)^(G20*12)</f>
        <v>0.77024890275541569</v>
      </c>
      <c r="N20">
        <f t="shared" si="5"/>
        <v>17</v>
      </c>
      <c r="O20">
        <f t="shared" si="3"/>
        <v>17</v>
      </c>
      <c r="P20">
        <f t="shared" si="4"/>
        <v>0.86842014114608246</v>
      </c>
    </row>
    <row r="21" spans="7:16" x14ac:dyDescent="0.35">
      <c r="N21">
        <f t="shared" si="5"/>
        <v>18</v>
      </c>
      <c r="O21">
        <f t="shared" si="3"/>
        <v>18</v>
      </c>
      <c r="P21">
        <f t="shared" si="4"/>
        <v>0.86124311518619745</v>
      </c>
    </row>
    <row r="22" spans="7:16" x14ac:dyDescent="0.35">
      <c r="H22">
        <v>0.1</v>
      </c>
      <c r="N22" t="e">
        <f>+#REF!+1</f>
        <v>#REF!</v>
      </c>
      <c r="O22" t="e">
        <f t="shared" si="3"/>
        <v>#REF!</v>
      </c>
      <c r="P22" t="e">
        <f t="shared" si="4"/>
        <v>#REF!</v>
      </c>
    </row>
    <row r="23" spans="7:16" x14ac:dyDescent="0.35">
      <c r="H23">
        <f>H22/12</f>
        <v>8.3333333333333332E-3</v>
      </c>
      <c r="J23">
        <f>1.4/100/I35</f>
        <v>1.2308224212201335E-3</v>
      </c>
      <c r="N23" t="e">
        <f t="shared" si="5"/>
        <v>#REF!</v>
      </c>
      <c r="O23" t="e">
        <f t="shared" si="3"/>
        <v>#REF!</v>
      </c>
      <c r="P23" t="e">
        <f t="shared" si="4"/>
        <v>#REF!</v>
      </c>
    </row>
    <row r="24" spans="7:16" x14ac:dyDescent="0.35">
      <c r="G24">
        <v>1</v>
      </c>
      <c r="H24">
        <f>1/(1+$H$23)^G24</f>
        <v>0.99173553719008267</v>
      </c>
      <c r="N24" t="e">
        <f t="shared" si="5"/>
        <v>#REF!</v>
      </c>
      <c r="O24" t="e">
        <f t="shared" si="3"/>
        <v>#REF!</v>
      </c>
      <c r="P24" t="e">
        <f t="shared" si="4"/>
        <v>#REF!</v>
      </c>
    </row>
    <row r="25" spans="7:16" x14ac:dyDescent="0.35">
      <c r="G25">
        <v>2</v>
      </c>
      <c r="H25">
        <f t="shared" ref="H25:H88" si="6">1/(1+$H$23)^G25</f>
        <v>0.98353937572570183</v>
      </c>
      <c r="N25" t="e">
        <f t="shared" si="5"/>
        <v>#REF!</v>
      </c>
      <c r="O25" t="e">
        <f t="shared" si="3"/>
        <v>#REF!</v>
      </c>
      <c r="P25" t="e">
        <f t="shared" si="4"/>
        <v>#REF!</v>
      </c>
    </row>
    <row r="26" spans="7:16" x14ac:dyDescent="0.35">
      <c r="G26">
        <v>3</v>
      </c>
      <c r="H26">
        <f t="shared" si="6"/>
        <v>0.97541095113292753</v>
      </c>
      <c r="N26" t="e">
        <f t="shared" si="5"/>
        <v>#REF!</v>
      </c>
      <c r="O26" t="e">
        <f t="shared" si="3"/>
        <v>#REF!</v>
      </c>
      <c r="P26" t="e">
        <f t="shared" si="4"/>
        <v>#REF!</v>
      </c>
    </row>
    <row r="27" spans="7:16" x14ac:dyDescent="0.35">
      <c r="G27">
        <v>4</v>
      </c>
      <c r="H27">
        <f t="shared" si="6"/>
        <v>0.9673497036029034</v>
      </c>
      <c r="N27" t="e">
        <f t="shared" si="5"/>
        <v>#REF!</v>
      </c>
      <c r="O27" t="e">
        <f t="shared" si="3"/>
        <v>#REF!</v>
      </c>
      <c r="P27" t="e">
        <f t="shared" si="4"/>
        <v>#REF!</v>
      </c>
    </row>
    <row r="28" spans="7:16" x14ac:dyDescent="0.35">
      <c r="G28">
        <f>+G27+1</f>
        <v>5</v>
      </c>
      <c r="H28">
        <f t="shared" si="6"/>
        <v>0.95935507795329267</v>
      </c>
      <c r="N28" t="e">
        <f t="shared" si="5"/>
        <v>#REF!</v>
      </c>
      <c r="O28" t="e">
        <f t="shared" si="3"/>
        <v>#REF!</v>
      </c>
      <c r="P28" t="e">
        <f t="shared" si="4"/>
        <v>#REF!</v>
      </c>
    </row>
    <row r="29" spans="7:16" x14ac:dyDescent="0.35">
      <c r="G29">
        <f t="shared" ref="G29:G35" si="7">+G28+1</f>
        <v>6</v>
      </c>
      <c r="H29">
        <f t="shared" si="6"/>
        <v>0.95142652359004232</v>
      </c>
      <c r="N29" t="e">
        <f t="shared" si="5"/>
        <v>#REF!</v>
      </c>
      <c r="O29" t="e">
        <f t="shared" si="3"/>
        <v>#REF!</v>
      </c>
      <c r="P29" t="e">
        <f t="shared" si="4"/>
        <v>#REF!</v>
      </c>
    </row>
    <row r="30" spans="7:16" x14ac:dyDescent="0.35">
      <c r="G30">
        <f t="shared" si="7"/>
        <v>7</v>
      </c>
      <c r="H30">
        <f t="shared" si="6"/>
        <v>0.94356349446946353</v>
      </c>
      <c r="N30" t="e">
        <f t="shared" si="5"/>
        <v>#REF!</v>
      </c>
      <c r="O30" t="e">
        <f t="shared" si="3"/>
        <v>#REF!</v>
      </c>
      <c r="P30" t="e">
        <f t="shared" si="4"/>
        <v>#REF!</v>
      </c>
    </row>
    <row r="31" spans="7:16" x14ac:dyDescent="0.35">
      <c r="G31">
        <f t="shared" si="7"/>
        <v>8</v>
      </c>
      <c r="H31">
        <f t="shared" si="6"/>
        <v>0.93576544906062498</v>
      </c>
      <c r="N31" t="e">
        <f t="shared" si="5"/>
        <v>#REF!</v>
      </c>
      <c r="O31" t="e">
        <f t="shared" si="3"/>
        <v>#REF!</v>
      </c>
      <c r="P31" t="e">
        <f t="shared" si="4"/>
        <v>#REF!</v>
      </c>
    </row>
    <row r="32" spans="7:16" x14ac:dyDescent="0.35">
      <c r="G32">
        <f t="shared" si="7"/>
        <v>9</v>
      </c>
      <c r="H32">
        <f t="shared" si="6"/>
        <v>0.9280318503080579</v>
      </c>
      <c r="N32" t="e">
        <f t="shared" si="5"/>
        <v>#REF!</v>
      </c>
      <c r="O32" t="e">
        <f t="shared" si="3"/>
        <v>#REF!</v>
      </c>
      <c r="P32" t="e">
        <f t="shared" si="4"/>
        <v>#REF!</v>
      </c>
    </row>
    <row r="33" spans="7:16" x14ac:dyDescent="0.35">
      <c r="G33">
        <f t="shared" si="7"/>
        <v>10</v>
      </c>
      <c r="H33">
        <f t="shared" si="6"/>
        <v>0.92036216559476813</v>
      </c>
      <c r="N33" t="e">
        <f t="shared" si="5"/>
        <v>#REF!</v>
      </c>
      <c r="O33" t="e">
        <f t="shared" si="3"/>
        <v>#REF!</v>
      </c>
      <c r="P33" t="e">
        <f t="shared" si="4"/>
        <v>#REF!</v>
      </c>
    </row>
    <row r="34" spans="7:16" x14ac:dyDescent="0.35">
      <c r="G34">
        <f t="shared" si="7"/>
        <v>11</v>
      </c>
      <c r="H34">
        <f t="shared" si="6"/>
        <v>0.91275586670555531</v>
      </c>
      <c r="N34" t="e">
        <f t="shared" si="5"/>
        <v>#REF!</v>
      </c>
      <c r="O34" t="e">
        <f t="shared" si="3"/>
        <v>#REF!</v>
      </c>
      <c r="P34" t="e">
        <f t="shared" si="4"/>
        <v>#REF!</v>
      </c>
    </row>
    <row r="35" spans="7:16" x14ac:dyDescent="0.35">
      <c r="G35">
        <f t="shared" si="7"/>
        <v>12</v>
      </c>
      <c r="H35">
        <f t="shared" si="6"/>
        <v>0.90521242979063321</v>
      </c>
      <c r="I35">
        <f>SUM($H$24:H35)</f>
        <v>11.374508425124056</v>
      </c>
      <c r="N35" t="e">
        <f t="shared" si="5"/>
        <v>#REF!</v>
      </c>
      <c r="O35" t="e">
        <f t="shared" si="3"/>
        <v>#REF!</v>
      </c>
      <c r="P35" t="e">
        <f t="shared" si="4"/>
        <v>#REF!</v>
      </c>
    </row>
    <row r="36" spans="7:16" x14ac:dyDescent="0.35">
      <c r="G36">
        <f t="shared" ref="G36:G49" si="8">+G35+1</f>
        <v>13</v>
      </c>
      <c r="H36">
        <f t="shared" si="6"/>
        <v>0.89773133532955385</v>
      </c>
      <c r="N36" t="e">
        <f t="shared" ref="N36:N84" si="9">+N35+1</f>
        <v>#REF!</v>
      </c>
      <c r="O36" t="e">
        <f t="shared" si="3"/>
        <v>#REF!</v>
      </c>
      <c r="P36" t="e">
        <f t="shared" ref="P36:P84" si="10">1/(1+$O$2)^N36*IF(O36&gt;0,1,0)</f>
        <v>#REF!</v>
      </c>
    </row>
    <row r="37" spans="7:16" x14ac:dyDescent="0.35">
      <c r="G37">
        <f t="shared" si="8"/>
        <v>14</v>
      </c>
      <c r="H37">
        <f t="shared" si="6"/>
        <v>0.89031206809542529</v>
      </c>
      <c r="N37" t="e">
        <f t="shared" si="9"/>
        <v>#REF!</v>
      </c>
      <c r="O37" t="e">
        <f t="shared" si="3"/>
        <v>#REF!</v>
      </c>
      <c r="P37" t="e">
        <f t="shared" si="10"/>
        <v>#REF!</v>
      </c>
    </row>
    <row r="38" spans="7:16" x14ac:dyDescent="0.35">
      <c r="G38">
        <f t="shared" si="8"/>
        <v>15</v>
      </c>
      <c r="H38">
        <f t="shared" si="6"/>
        <v>0.88295411711943006</v>
      </c>
      <c r="N38" t="e">
        <f t="shared" si="9"/>
        <v>#REF!</v>
      </c>
      <c r="O38" t="e">
        <f t="shared" si="3"/>
        <v>#REF!</v>
      </c>
      <c r="P38" t="e">
        <f t="shared" si="10"/>
        <v>#REF!</v>
      </c>
    </row>
    <row r="39" spans="7:16" x14ac:dyDescent="0.35">
      <c r="G39">
        <f t="shared" si="8"/>
        <v>16</v>
      </c>
      <c r="H39">
        <f t="shared" si="6"/>
        <v>0.87565697565563305</v>
      </c>
      <c r="N39" t="e">
        <f t="shared" si="9"/>
        <v>#REF!</v>
      </c>
      <c r="O39" t="e">
        <f t="shared" si="3"/>
        <v>#REF!</v>
      </c>
      <c r="P39" t="e">
        <f t="shared" si="10"/>
        <v>#REF!</v>
      </c>
    </row>
    <row r="40" spans="7:16" x14ac:dyDescent="0.35">
      <c r="G40">
        <f t="shared" si="8"/>
        <v>17</v>
      </c>
      <c r="H40">
        <f t="shared" si="6"/>
        <v>0.86842014114608246</v>
      </c>
      <c r="N40" t="e">
        <f t="shared" si="9"/>
        <v>#REF!</v>
      </c>
      <c r="O40" t="e">
        <f t="shared" si="3"/>
        <v>#REF!</v>
      </c>
      <c r="P40" t="e">
        <f t="shared" si="10"/>
        <v>#REF!</v>
      </c>
    </row>
    <row r="41" spans="7:16" x14ac:dyDescent="0.35">
      <c r="G41">
        <f t="shared" si="8"/>
        <v>18</v>
      </c>
      <c r="H41">
        <f t="shared" si="6"/>
        <v>0.86124311518619745</v>
      </c>
      <c r="N41" t="e">
        <f t="shared" si="9"/>
        <v>#REF!</v>
      </c>
      <c r="O41" t="e">
        <f t="shared" si="3"/>
        <v>#REF!</v>
      </c>
      <c r="P41" t="e">
        <f t="shared" si="10"/>
        <v>#REF!</v>
      </c>
    </row>
    <row r="42" spans="7:16" x14ac:dyDescent="0.35">
      <c r="G42">
        <f t="shared" si="8"/>
        <v>19</v>
      </c>
      <c r="H42">
        <f t="shared" si="6"/>
        <v>0.85412540349044375</v>
      </c>
      <c r="N42" t="e">
        <f t="shared" si="9"/>
        <v>#REF!</v>
      </c>
      <c r="O42" t="e">
        <f t="shared" si="3"/>
        <v>#REF!</v>
      </c>
      <c r="P42" t="e">
        <f t="shared" si="10"/>
        <v>#REF!</v>
      </c>
    </row>
    <row r="43" spans="7:16" x14ac:dyDescent="0.35">
      <c r="G43">
        <f t="shared" si="8"/>
        <v>20</v>
      </c>
      <c r="H43">
        <f t="shared" si="6"/>
        <v>0.84706651585829151</v>
      </c>
      <c r="I43">
        <f>SUM($H$24:H43)</f>
        <v>18.352018097005114</v>
      </c>
      <c r="N43" t="e">
        <f t="shared" si="9"/>
        <v>#REF!</v>
      </c>
      <c r="O43" t="e">
        <f t="shared" si="3"/>
        <v>#REF!</v>
      </c>
      <c r="P43" t="e">
        <f t="shared" si="10"/>
        <v>#REF!</v>
      </c>
    </row>
    <row r="44" spans="7:16" x14ac:dyDescent="0.35">
      <c r="G44">
        <f t="shared" si="8"/>
        <v>21</v>
      </c>
      <c r="H44">
        <f t="shared" si="6"/>
        <v>0.84006596614045448</v>
      </c>
      <c r="N44" t="e">
        <f t="shared" si="9"/>
        <v>#REF!</v>
      </c>
      <c r="O44" t="e">
        <f t="shared" si="3"/>
        <v>#REF!</v>
      </c>
      <c r="P44" t="e">
        <f t="shared" si="10"/>
        <v>#REF!</v>
      </c>
    </row>
    <row r="45" spans="7:16" x14ac:dyDescent="0.35">
      <c r="G45">
        <f t="shared" si="8"/>
        <v>22</v>
      </c>
      <c r="H45">
        <f t="shared" si="6"/>
        <v>0.83312327220540916</v>
      </c>
      <c r="N45" t="e">
        <f t="shared" si="9"/>
        <v>#REF!</v>
      </c>
      <c r="O45" t="e">
        <f t="shared" si="3"/>
        <v>#REF!</v>
      </c>
      <c r="P45" t="e">
        <f t="shared" si="10"/>
        <v>#REF!</v>
      </c>
    </row>
    <row r="46" spans="7:16" x14ac:dyDescent="0.35">
      <c r="G46">
        <f t="shared" si="8"/>
        <v>23</v>
      </c>
      <c r="H46">
        <f t="shared" si="6"/>
        <v>0.82623795590619109</v>
      </c>
      <c r="N46" t="e">
        <f t="shared" si="9"/>
        <v>#REF!</v>
      </c>
      <c r="O46" t="e">
        <f t="shared" si="3"/>
        <v>#REF!</v>
      </c>
      <c r="P46" t="e">
        <f t="shared" si="10"/>
        <v>#REF!</v>
      </c>
    </row>
    <row r="47" spans="7:16" x14ac:dyDescent="0.35">
      <c r="G47">
        <f t="shared" si="8"/>
        <v>24</v>
      </c>
      <c r="H47">
        <f t="shared" si="6"/>
        <v>0.81940954304746227</v>
      </c>
      <c r="N47" t="e">
        <f t="shared" si="9"/>
        <v>#REF!</v>
      </c>
      <c r="O47" t="e">
        <f t="shared" si="3"/>
        <v>#REF!</v>
      </c>
      <c r="P47" t="e">
        <f t="shared" si="10"/>
        <v>#REF!</v>
      </c>
    </row>
    <row r="48" spans="7:16" x14ac:dyDescent="0.35">
      <c r="G48">
        <f t="shared" si="8"/>
        <v>25</v>
      </c>
      <c r="H48">
        <f t="shared" si="6"/>
        <v>0.81263756335285531</v>
      </c>
      <c r="N48" t="e">
        <f t="shared" si="9"/>
        <v>#REF!</v>
      </c>
      <c r="O48" t="e">
        <f t="shared" si="3"/>
        <v>#REF!</v>
      </c>
      <c r="P48" t="e">
        <f t="shared" si="10"/>
        <v>#REF!</v>
      </c>
    </row>
    <row r="49" spans="7:16" x14ac:dyDescent="0.35">
      <c r="G49">
        <f t="shared" si="8"/>
        <v>26</v>
      </c>
      <c r="H49">
        <f t="shared" si="6"/>
        <v>0.80592155043258373</v>
      </c>
      <c r="N49" t="e">
        <f t="shared" si="9"/>
        <v>#REF!</v>
      </c>
      <c r="O49" t="e">
        <f t="shared" si="3"/>
        <v>#REF!</v>
      </c>
      <c r="P49" t="e">
        <f t="shared" si="10"/>
        <v>#REF!</v>
      </c>
    </row>
    <row r="50" spans="7:16" x14ac:dyDescent="0.35">
      <c r="G50">
        <f t="shared" ref="G50:G113" si="11">+G49+1</f>
        <v>27</v>
      </c>
      <c r="H50">
        <f t="shared" si="6"/>
        <v>0.79926104175132262</v>
      </c>
      <c r="N50" t="e">
        <f t="shared" si="9"/>
        <v>#REF!</v>
      </c>
      <c r="O50" t="e">
        <f t="shared" si="3"/>
        <v>#REF!</v>
      </c>
      <c r="P50" t="e">
        <f t="shared" si="10"/>
        <v>#REF!</v>
      </c>
    </row>
    <row r="51" spans="7:16" x14ac:dyDescent="0.35">
      <c r="G51">
        <f t="shared" si="11"/>
        <v>28</v>
      </c>
      <c r="H51">
        <f t="shared" si="6"/>
        <v>0.79265557859635305</v>
      </c>
      <c r="N51" t="e">
        <f t="shared" si="9"/>
        <v>#REF!</v>
      </c>
      <c r="O51" t="e">
        <f t="shared" si="3"/>
        <v>#REF!</v>
      </c>
      <c r="P51" t="e">
        <f t="shared" si="10"/>
        <v>#REF!</v>
      </c>
    </row>
    <row r="52" spans="7:16" x14ac:dyDescent="0.35">
      <c r="G52">
        <f t="shared" si="11"/>
        <v>29</v>
      </c>
      <c r="H52">
        <f t="shared" si="6"/>
        <v>0.78610470604597016</v>
      </c>
      <c r="N52" t="e">
        <f t="shared" si="9"/>
        <v>#REF!</v>
      </c>
      <c r="O52" t="e">
        <f t="shared" si="3"/>
        <v>#REF!</v>
      </c>
      <c r="P52" t="e">
        <f t="shared" si="10"/>
        <v>#REF!</v>
      </c>
    </row>
    <row r="53" spans="7:16" x14ac:dyDescent="0.35">
      <c r="G53">
        <f t="shared" si="11"/>
        <v>30</v>
      </c>
      <c r="H53">
        <f t="shared" si="6"/>
        <v>0.77960797293815209</v>
      </c>
      <c r="N53" t="e">
        <f t="shared" si="9"/>
        <v>#REF!</v>
      </c>
      <c r="O53" t="e">
        <f t="shared" si="3"/>
        <v>#REF!</v>
      </c>
      <c r="P53" t="e">
        <f t="shared" si="10"/>
        <v>#REF!</v>
      </c>
    </row>
    <row r="54" spans="7:16" x14ac:dyDescent="0.35">
      <c r="G54">
        <f t="shared" si="11"/>
        <v>31</v>
      </c>
      <c r="H54">
        <f t="shared" si="6"/>
        <v>0.77316493183948976</v>
      </c>
      <c r="N54" t="e">
        <f t="shared" si="9"/>
        <v>#REF!</v>
      </c>
      <c r="O54" t="e">
        <f t="shared" si="3"/>
        <v>#REF!</v>
      </c>
      <c r="P54" t="e">
        <f t="shared" si="10"/>
        <v>#REF!</v>
      </c>
    </row>
    <row r="55" spans="7:16" x14ac:dyDescent="0.35">
      <c r="G55">
        <f t="shared" si="11"/>
        <v>32</v>
      </c>
      <c r="H55">
        <f t="shared" si="6"/>
        <v>0.76677513901437</v>
      </c>
      <c r="N55" t="e">
        <f t="shared" si="9"/>
        <v>#REF!</v>
      </c>
      <c r="O55" t="e">
        <f t="shared" si="3"/>
        <v>#REF!</v>
      </c>
      <c r="P55" t="e">
        <f t="shared" si="10"/>
        <v>#REF!</v>
      </c>
    </row>
    <row r="56" spans="7:16" x14ac:dyDescent="0.35">
      <c r="G56">
        <f t="shared" si="11"/>
        <v>33</v>
      </c>
      <c r="H56">
        <f t="shared" si="6"/>
        <v>0.76043815439441664</v>
      </c>
      <c r="N56" t="e">
        <f t="shared" si="9"/>
        <v>#REF!</v>
      </c>
      <c r="O56" t="e">
        <f t="shared" si="3"/>
        <v>#REF!</v>
      </c>
      <c r="P56" t="e">
        <f t="shared" si="10"/>
        <v>#REF!</v>
      </c>
    </row>
    <row r="57" spans="7:16" x14ac:dyDescent="0.35">
      <c r="G57">
        <f t="shared" si="11"/>
        <v>34</v>
      </c>
      <c r="H57">
        <f t="shared" si="6"/>
        <v>0.75415354154818171</v>
      </c>
      <c r="N57" t="e">
        <f t="shared" si="9"/>
        <v>#REF!</v>
      </c>
      <c r="O57" t="e">
        <f t="shared" si="3"/>
        <v>#REF!</v>
      </c>
      <c r="P57" t="e">
        <f t="shared" si="10"/>
        <v>#REF!</v>
      </c>
    </row>
    <row r="58" spans="7:16" x14ac:dyDescent="0.35">
      <c r="G58">
        <f t="shared" si="11"/>
        <v>35</v>
      </c>
      <c r="H58">
        <f t="shared" si="6"/>
        <v>0.74792086765108945</v>
      </c>
      <c r="N58" t="e">
        <f t="shared" si="9"/>
        <v>#REF!</v>
      </c>
      <c r="O58" t="e">
        <f t="shared" si="3"/>
        <v>#REF!</v>
      </c>
      <c r="P58" t="e">
        <f t="shared" si="10"/>
        <v>#REF!</v>
      </c>
    </row>
    <row r="59" spans="7:16" x14ac:dyDescent="0.35">
      <c r="G59">
        <f t="shared" si="11"/>
        <v>36</v>
      </c>
      <c r="H59">
        <f t="shared" si="6"/>
        <v>0.7417397034556259</v>
      </c>
      <c r="N59" t="e">
        <f t="shared" si="9"/>
        <v>#REF!</v>
      </c>
      <c r="O59" t="e">
        <f t="shared" si="3"/>
        <v>#REF!</v>
      </c>
      <c r="P59" t="e">
        <f t="shared" si="10"/>
        <v>#REF!</v>
      </c>
    </row>
    <row r="60" spans="7:16" x14ac:dyDescent="0.35">
      <c r="G60">
        <f t="shared" si="11"/>
        <v>37</v>
      </c>
      <c r="H60">
        <f t="shared" si="6"/>
        <v>0.73560962326177781</v>
      </c>
      <c r="N60" t="e">
        <f t="shared" si="9"/>
        <v>#REF!</v>
      </c>
      <c r="O60" t="e">
        <f t="shared" si="3"/>
        <v>#REF!</v>
      </c>
      <c r="P60" t="e">
        <f t="shared" si="10"/>
        <v>#REF!</v>
      </c>
    </row>
    <row r="61" spans="7:16" x14ac:dyDescent="0.35">
      <c r="G61">
        <f t="shared" si="11"/>
        <v>38</v>
      </c>
      <c r="H61">
        <f t="shared" si="6"/>
        <v>0.72953020488771347</v>
      </c>
      <c r="N61" t="e">
        <f t="shared" si="9"/>
        <v>#REF!</v>
      </c>
      <c r="O61" t="e">
        <f t="shared" ref="O61:O95" si="12">IF(N61&gt;=$P$2+1,0,N61)</f>
        <v>#REF!</v>
      </c>
      <c r="P61" t="e">
        <f t="shared" si="10"/>
        <v>#REF!</v>
      </c>
    </row>
    <row r="62" spans="7:16" x14ac:dyDescent="0.35">
      <c r="G62">
        <f t="shared" si="11"/>
        <v>39</v>
      </c>
      <c r="H62">
        <f t="shared" si="6"/>
        <v>0.72350102964070773</v>
      </c>
      <c r="N62" t="e">
        <f t="shared" si="9"/>
        <v>#REF!</v>
      </c>
      <c r="O62" t="e">
        <f t="shared" si="12"/>
        <v>#REF!</v>
      </c>
      <c r="P62" t="e">
        <f t="shared" si="10"/>
        <v>#REF!</v>
      </c>
    </row>
    <row r="63" spans="7:16" x14ac:dyDescent="0.35">
      <c r="G63">
        <f t="shared" si="11"/>
        <v>40</v>
      </c>
      <c r="H63">
        <f t="shared" si="6"/>
        <v>0.71752168228830515</v>
      </c>
      <c r="N63" t="e">
        <f t="shared" si="9"/>
        <v>#REF!</v>
      </c>
      <c r="O63" t="e">
        <f t="shared" si="12"/>
        <v>#REF!</v>
      </c>
      <c r="P63" t="e">
        <f t="shared" si="10"/>
        <v>#REF!</v>
      </c>
    </row>
    <row r="64" spans="7:16" x14ac:dyDescent="0.35">
      <c r="G64">
        <f t="shared" si="11"/>
        <v>41</v>
      </c>
      <c r="H64">
        <f t="shared" si="6"/>
        <v>0.71159175102972416</v>
      </c>
      <c r="N64" t="e">
        <f t="shared" si="9"/>
        <v>#REF!</v>
      </c>
      <c r="O64" t="e">
        <f t="shared" si="12"/>
        <v>#REF!</v>
      </c>
      <c r="P64" t="e">
        <f t="shared" si="10"/>
        <v>#REF!</v>
      </c>
    </row>
    <row r="65" spans="7:16" x14ac:dyDescent="0.35">
      <c r="G65">
        <f t="shared" si="11"/>
        <v>42</v>
      </c>
      <c r="H65">
        <f t="shared" si="6"/>
        <v>0.70571082746749492</v>
      </c>
      <c r="N65" t="e">
        <f t="shared" si="9"/>
        <v>#REF!</v>
      </c>
      <c r="O65" t="e">
        <f t="shared" si="12"/>
        <v>#REF!</v>
      </c>
      <c r="P65" t="e">
        <f t="shared" si="10"/>
        <v>#REF!</v>
      </c>
    </row>
    <row r="66" spans="7:16" x14ac:dyDescent="0.35">
      <c r="G66">
        <f t="shared" si="11"/>
        <v>43</v>
      </c>
      <c r="H66">
        <f t="shared" si="6"/>
        <v>0.69987850657933393</v>
      </c>
      <c r="N66" t="e">
        <f t="shared" si="9"/>
        <v>#REF!</v>
      </c>
      <c r="O66" t="e">
        <f t="shared" si="12"/>
        <v>#REF!</v>
      </c>
      <c r="P66" t="e">
        <f t="shared" si="10"/>
        <v>#REF!</v>
      </c>
    </row>
    <row r="67" spans="7:16" x14ac:dyDescent="0.35">
      <c r="G67">
        <f t="shared" si="11"/>
        <v>44</v>
      </c>
      <c r="H67">
        <f t="shared" si="6"/>
        <v>0.69409438669024848</v>
      </c>
      <c r="N67" t="e">
        <f t="shared" si="9"/>
        <v>#REF!</v>
      </c>
      <c r="O67" t="e">
        <f t="shared" si="12"/>
        <v>#REF!</v>
      </c>
      <c r="P67" t="e">
        <f t="shared" si="10"/>
        <v>#REF!</v>
      </c>
    </row>
    <row r="68" spans="7:16" x14ac:dyDescent="0.35">
      <c r="G68">
        <f t="shared" si="11"/>
        <v>45</v>
      </c>
      <c r="H68">
        <f t="shared" si="6"/>
        <v>0.68835806944487476</v>
      </c>
      <c r="N68" t="e">
        <f t="shared" si="9"/>
        <v>#REF!</v>
      </c>
      <c r="O68" t="e">
        <f t="shared" si="12"/>
        <v>#REF!</v>
      </c>
      <c r="P68" t="e">
        <f t="shared" si="10"/>
        <v>#REF!</v>
      </c>
    </row>
    <row r="69" spans="7:16" x14ac:dyDescent="0.35">
      <c r="G69">
        <f t="shared" si="11"/>
        <v>46</v>
      </c>
      <c r="H69">
        <f t="shared" si="6"/>
        <v>0.68266915978004095</v>
      </c>
      <c r="N69" t="e">
        <f t="shared" si="9"/>
        <v>#REF!</v>
      </c>
      <c r="O69" t="e">
        <f t="shared" si="12"/>
        <v>#REF!</v>
      </c>
      <c r="P69" t="e">
        <f t="shared" si="10"/>
        <v>#REF!</v>
      </c>
    </row>
    <row r="70" spans="7:16" x14ac:dyDescent="0.35">
      <c r="G70">
        <f t="shared" si="11"/>
        <v>47</v>
      </c>
      <c r="H70">
        <f t="shared" si="6"/>
        <v>0.67702726589756135</v>
      </c>
      <c r="N70" t="e">
        <f t="shared" si="9"/>
        <v>#REF!</v>
      </c>
      <c r="O70" t="e">
        <f t="shared" si="12"/>
        <v>#REF!</v>
      </c>
      <c r="P70" t="e">
        <f t="shared" si="10"/>
        <v>#REF!</v>
      </c>
    </row>
    <row r="71" spans="7:16" x14ac:dyDescent="0.35">
      <c r="G71">
        <f t="shared" si="11"/>
        <v>48</v>
      </c>
      <c r="H71">
        <f t="shared" si="6"/>
        <v>0.67143199923725094</v>
      </c>
      <c r="N71" t="e">
        <f t="shared" si="9"/>
        <v>#REF!</v>
      </c>
      <c r="O71" t="e">
        <f t="shared" si="12"/>
        <v>#REF!</v>
      </c>
      <c r="P71" t="e">
        <f t="shared" si="10"/>
        <v>#REF!</v>
      </c>
    </row>
    <row r="72" spans="7:16" x14ac:dyDescent="0.35">
      <c r="G72">
        <f t="shared" si="11"/>
        <v>49</v>
      </c>
      <c r="H72">
        <f t="shared" si="6"/>
        <v>0.6658829744501662</v>
      </c>
      <c r="N72" t="e">
        <f t="shared" si="9"/>
        <v>#REF!</v>
      </c>
      <c r="O72" t="e">
        <f t="shared" si="12"/>
        <v>#REF!</v>
      </c>
      <c r="P72" t="e">
        <f t="shared" si="10"/>
        <v>#REF!</v>
      </c>
    </row>
    <row r="73" spans="7:16" x14ac:dyDescent="0.35">
      <c r="G73">
        <f t="shared" si="11"/>
        <v>50</v>
      </c>
      <c r="H73">
        <f t="shared" si="6"/>
        <v>0.66037980937206564</v>
      </c>
      <c r="N73" t="e">
        <f t="shared" si="9"/>
        <v>#REF!</v>
      </c>
      <c r="O73" t="e">
        <f t="shared" si="12"/>
        <v>#REF!</v>
      </c>
      <c r="P73" t="e">
        <f t="shared" si="10"/>
        <v>#REF!</v>
      </c>
    </row>
    <row r="74" spans="7:16" x14ac:dyDescent="0.35">
      <c r="G74">
        <f t="shared" si="11"/>
        <v>51</v>
      </c>
      <c r="H74">
        <f t="shared" si="6"/>
        <v>0.65492212499708991</v>
      </c>
      <c r="N74" t="e">
        <f t="shared" si="9"/>
        <v>#REF!</v>
      </c>
      <c r="O74" t="e">
        <f t="shared" si="12"/>
        <v>#REF!</v>
      </c>
      <c r="P74" t="e">
        <f t="shared" si="10"/>
        <v>#REF!</v>
      </c>
    </row>
    <row r="75" spans="7:16" x14ac:dyDescent="0.35">
      <c r="G75">
        <f t="shared" si="11"/>
        <v>52</v>
      </c>
      <c r="H75">
        <f t="shared" si="6"/>
        <v>0.64950954545165951</v>
      </c>
      <c r="N75" t="e">
        <f t="shared" si="9"/>
        <v>#REF!</v>
      </c>
      <c r="O75" t="e">
        <f t="shared" si="12"/>
        <v>#REF!</v>
      </c>
      <c r="P75" t="e">
        <f t="shared" si="10"/>
        <v>#REF!</v>
      </c>
    </row>
    <row r="76" spans="7:16" x14ac:dyDescent="0.35">
      <c r="G76">
        <f t="shared" si="11"/>
        <v>53</v>
      </c>
      <c r="H76">
        <f t="shared" si="6"/>
        <v>0.644141697968588</v>
      </c>
      <c r="N76" t="e">
        <f t="shared" si="9"/>
        <v>#REF!</v>
      </c>
      <c r="O76" t="e">
        <f t="shared" si="12"/>
        <v>#REF!</v>
      </c>
      <c r="P76" t="e">
        <f t="shared" si="10"/>
        <v>#REF!</v>
      </c>
    </row>
    <row r="77" spans="7:16" x14ac:dyDescent="0.35">
      <c r="G77">
        <f t="shared" si="11"/>
        <v>54</v>
      </c>
      <c r="H77">
        <f t="shared" si="6"/>
        <v>0.6388182128614095</v>
      </c>
      <c r="N77" t="e">
        <f t="shared" si="9"/>
        <v>#REF!</v>
      </c>
      <c r="O77" t="e">
        <f t="shared" si="12"/>
        <v>#REF!</v>
      </c>
      <c r="P77" t="e">
        <f t="shared" si="10"/>
        <v>#REF!</v>
      </c>
    </row>
    <row r="78" spans="7:16" x14ac:dyDescent="0.35">
      <c r="G78">
        <f t="shared" si="11"/>
        <v>55</v>
      </c>
      <c r="H78">
        <f t="shared" si="6"/>
        <v>0.6335387234989186</v>
      </c>
      <c r="N78" t="e">
        <f t="shared" si="9"/>
        <v>#REF!</v>
      </c>
      <c r="O78" t="e">
        <f t="shared" si="12"/>
        <v>#REF!</v>
      </c>
      <c r="P78" t="e">
        <f t="shared" si="10"/>
        <v>#REF!</v>
      </c>
    </row>
    <row r="79" spans="7:16" x14ac:dyDescent="0.35">
      <c r="G79">
        <f t="shared" si="11"/>
        <v>56</v>
      </c>
      <c r="H79">
        <f t="shared" si="6"/>
        <v>0.62830286627991927</v>
      </c>
      <c r="N79" t="e">
        <f t="shared" si="9"/>
        <v>#REF!</v>
      </c>
      <c r="O79" t="e">
        <f t="shared" si="12"/>
        <v>#REF!</v>
      </c>
      <c r="P79" t="e">
        <f t="shared" si="10"/>
        <v>#REF!</v>
      </c>
    </row>
    <row r="80" spans="7:16" x14ac:dyDescent="0.35">
      <c r="G80">
        <f t="shared" si="11"/>
        <v>57</v>
      </c>
      <c r="H80">
        <f t="shared" si="6"/>
        <v>0.62311028060818452</v>
      </c>
      <c r="N80" t="e">
        <f t="shared" si="9"/>
        <v>#REF!</v>
      </c>
      <c r="O80" t="e">
        <f t="shared" si="12"/>
        <v>#REF!</v>
      </c>
      <c r="P80" t="e">
        <f t="shared" si="10"/>
        <v>#REF!</v>
      </c>
    </row>
    <row r="81" spans="7:16" x14ac:dyDescent="0.35">
      <c r="G81">
        <f t="shared" si="11"/>
        <v>58</v>
      </c>
      <c r="H81">
        <f t="shared" si="6"/>
        <v>0.61796060886762105</v>
      </c>
      <c r="N81" t="e">
        <f t="shared" si="9"/>
        <v>#REF!</v>
      </c>
      <c r="O81" t="e">
        <f t="shared" si="12"/>
        <v>#REF!</v>
      </c>
      <c r="P81" t="e">
        <f t="shared" si="10"/>
        <v>#REF!</v>
      </c>
    </row>
    <row r="82" spans="7:16" x14ac:dyDescent="0.35">
      <c r="G82">
        <f t="shared" si="11"/>
        <v>59</v>
      </c>
      <c r="H82">
        <f t="shared" si="6"/>
        <v>0.61285349639764064</v>
      </c>
      <c r="N82" t="e">
        <f t="shared" si="9"/>
        <v>#REF!</v>
      </c>
      <c r="O82" t="e">
        <f t="shared" si="12"/>
        <v>#REF!</v>
      </c>
      <c r="P82" t="e">
        <f t="shared" si="10"/>
        <v>#REF!</v>
      </c>
    </row>
    <row r="83" spans="7:16" x14ac:dyDescent="0.35">
      <c r="G83">
        <f t="shared" si="11"/>
        <v>60</v>
      </c>
      <c r="H83">
        <f t="shared" si="6"/>
        <v>0.60778859146873454</v>
      </c>
      <c r="N83" t="e">
        <f t="shared" si="9"/>
        <v>#REF!</v>
      </c>
      <c r="O83" t="e">
        <f t="shared" si="12"/>
        <v>#REF!</v>
      </c>
      <c r="P83" t="e">
        <f t="shared" si="10"/>
        <v>#REF!</v>
      </c>
    </row>
    <row r="84" spans="7:16" x14ac:dyDescent="0.35">
      <c r="G84">
        <f t="shared" si="11"/>
        <v>61</v>
      </c>
      <c r="H84">
        <f t="shared" si="6"/>
        <v>0.60276554525824921</v>
      </c>
      <c r="N84" t="e">
        <f t="shared" si="9"/>
        <v>#REF!</v>
      </c>
      <c r="O84" t="e">
        <f t="shared" si="12"/>
        <v>#REF!</v>
      </c>
      <c r="P84" t="e">
        <f t="shared" si="10"/>
        <v>#REF!</v>
      </c>
    </row>
    <row r="85" spans="7:16" x14ac:dyDescent="0.35">
      <c r="G85">
        <f t="shared" si="11"/>
        <v>62</v>
      </c>
      <c r="H85">
        <f t="shared" si="6"/>
        <v>0.59778401182636276</v>
      </c>
      <c r="N85" t="e">
        <f t="shared" ref="N85:N95" si="13">+N84+1</f>
        <v>#REF!</v>
      </c>
      <c r="O85" t="e">
        <f t="shared" si="12"/>
        <v>#REF!</v>
      </c>
      <c r="P85" t="e">
        <f t="shared" ref="P85:P95" si="14">1/(1+$O$2)^N85*IF(O85&gt;0,1,0)</f>
        <v>#REF!</v>
      </c>
    </row>
    <row r="86" spans="7:16" x14ac:dyDescent="0.35">
      <c r="G86">
        <f t="shared" si="11"/>
        <v>63</v>
      </c>
      <c r="H86">
        <f t="shared" si="6"/>
        <v>0.59284364809226076</v>
      </c>
      <c r="N86" t="e">
        <f t="shared" si="13"/>
        <v>#REF!</v>
      </c>
      <c r="O86" t="e">
        <f t="shared" si="12"/>
        <v>#REF!</v>
      </c>
      <c r="P86" t="e">
        <f t="shared" si="14"/>
        <v>#REF!</v>
      </c>
    </row>
    <row r="87" spans="7:16" x14ac:dyDescent="0.35">
      <c r="G87">
        <f t="shared" si="11"/>
        <v>64</v>
      </c>
      <c r="H87">
        <f t="shared" si="6"/>
        <v>0.58794411381050649</v>
      </c>
      <c r="N87" t="e">
        <f t="shared" si="13"/>
        <v>#REF!</v>
      </c>
      <c r="O87" t="e">
        <f t="shared" si="12"/>
        <v>#REF!</v>
      </c>
      <c r="P87" t="e">
        <f t="shared" si="14"/>
        <v>#REF!</v>
      </c>
    </row>
    <row r="88" spans="7:16" x14ac:dyDescent="0.35">
      <c r="G88">
        <f t="shared" si="11"/>
        <v>65</v>
      </c>
      <c r="H88">
        <f t="shared" si="6"/>
        <v>0.5830850715476098</v>
      </c>
      <c r="N88" t="e">
        <f t="shared" si="13"/>
        <v>#REF!</v>
      </c>
      <c r="O88" t="e">
        <f t="shared" si="12"/>
        <v>#REF!</v>
      </c>
      <c r="P88" t="e">
        <f t="shared" si="14"/>
        <v>#REF!</v>
      </c>
    </row>
    <row r="89" spans="7:16" x14ac:dyDescent="0.35">
      <c r="G89">
        <f t="shared" si="11"/>
        <v>66</v>
      </c>
      <c r="H89">
        <f t="shared" ref="H89:H134" si="15">1/(1+$H$23)^G89</f>
        <v>0.5782661866587866</v>
      </c>
      <c r="N89" t="e">
        <f t="shared" si="13"/>
        <v>#REF!</v>
      </c>
      <c r="O89" t="e">
        <f t="shared" si="12"/>
        <v>#REF!</v>
      </c>
      <c r="P89" t="e">
        <f t="shared" si="14"/>
        <v>#REF!</v>
      </c>
    </row>
    <row r="90" spans="7:16" x14ac:dyDescent="0.35">
      <c r="G90">
        <f t="shared" si="11"/>
        <v>67</v>
      </c>
      <c r="H90">
        <f t="shared" si="15"/>
        <v>0.57348712726491236</v>
      </c>
      <c r="N90" t="e">
        <f t="shared" si="13"/>
        <v>#REF!</v>
      </c>
      <c r="O90" t="e">
        <f t="shared" si="12"/>
        <v>#REF!</v>
      </c>
      <c r="P90" t="e">
        <f t="shared" si="14"/>
        <v>#REF!</v>
      </c>
    </row>
    <row r="91" spans="7:16" x14ac:dyDescent="0.35">
      <c r="G91">
        <f t="shared" si="11"/>
        <v>68</v>
      </c>
      <c r="H91">
        <f t="shared" si="15"/>
        <v>0.5687475642296651</v>
      </c>
      <c r="N91" t="e">
        <f t="shared" si="13"/>
        <v>#REF!</v>
      </c>
      <c r="O91" t="e">
        <f t="shared" si="12"/>
        <v>#REF!</v>
      </c>
      <c r="P91" t="e">
        <f t="shared" si="14"/>
        <v>#REF!</v>
      </c>
    </row>
    <row r="92" spans="7:16" x14ac:dyDescent="0.35">
      <c r="G92">
        <f t="shared" si="11"/>
        <v>69</v>
      </c>
      <c r="H92">
        <f t="shared" si="15"/>
        <v>0.56404717113685809</v>
      </c>
      <c r="N92" t="e">
        <f t="shared" si="13"/>
        <v>#REF!</v>
      </c>
      <c r="O92" t="e">
        <f t="shared" si="12"/>
        <v>#REF!</v>
      </c>
      <c r="P92" t="e">
        <f t="shared" si="14"/>
        <v>#REF!</v>
      </c>
    </row>
    <row r="93" spans="7:16" x14ac:dyDescent="0.35">
      <c r="G93">
        <f t="shared" si="11"/>
        <v>70</v>
      </c>
      <c r="H93">
        <f t="shared" si="15"/>
        <v>0.55938562426795835</v>
      </c>
      <c r="N93" t="e">
        <f t="shared" si="13"/>
        <v>#REF!</v>
      </c>
      <c r="O93" t="e">
        <f t="shared" si="12"/>
        <v>#REF!</v>
      </c>
      <c r="P93" t="e">
        <f t="shared" si="14"/>
        <v>#REF!</v>
      </c>
    </row>
    <row r="94" spans="7:16" x14ac:dyDescent="0.35">
      <c r="G94">
        <f t="shared" si="11"/>
        <v>71</v>
      </c>
      <c r="H94">
        <f t="shared" si="15"/>
        <v>0.55476260257979348</v>
      </c>
      <c r="N94" t="e">
        <f t="shared" si="13"/>
        <v>#REF!</v>
      </c>
      <c r="O94" t="e">
        <f t="shared" si="12"/>
        <v>#REF!</v>
      </c>
      <c r="P94" t="e">
        <f t="shared" si="14"/>
        <v>#REF!</v>
      </c>
    </row>
    <row r="95" spans="7:16" x14ac:dyDescent="0.35">
      <c r="G95">
        <f t="shared" si="11"/>
        <v>72</v>
      </c>
      <c r="H95">
        <f t="shared" si="15"/>
        <v>0.55017778768243975</v>
      </c>
      <c r="N95" t="e">
        <f t="shared" si="13"/>
        <v>#REF!</v>
      </c>
      <c r="O95" t="e">
        <f t="shared" si="12"/>
        <v>#REF!</v>
      </c>
      <c r="P95" t="e">
        <f t="shared" si="14"/>
        <v>#REF!</v>
      </c>
    </row>
    <row r="96" spans="7:16" x14ac:dyDescent="0.35">
      <c r="G96">
        <f t="shared" si="11"/>
        <v>73</v>
      </c>
      <c r="H96">
        <f t="shared" si="15"/>
        <v>0.54563086381729575</v>
      </c>
    </row>
    <row r="97" spans="7:10" x14ac:dyDescent="0.35">
      <c r="G97">
        <f t="shared" si="11"/>
        <v>74</v>
      </c>
      <c r="H97">
        <f t="shared" si="15"/>
        <v>0.54112151783533458</v>
      </c>
    </row>
    <row r="98" spans="7:10" x14ac:dyDescent="0.35">
      <c r="G98">
        <f t="shared" si="11"/>
        <v>75</v>
      </c>
      <c r="H98">
        <f t="shared" si="15"/>
        <v>0.53664943917553853</v>
      </c>
    </row>
    <row r="99" spans="7:10" x14ac:dyDescent="0.35">
      <c r="G99">
        <f t="shared" si="11"/>
        <v>76</v>
      </c>
      <c r="H99">
        <f t="shared" si="15"/>
        <v>0.5322143198435092</v>
      </c>
    </row>
    <row r="100" spans="7:10" x14ac:dyDescent="0.35">
      <c r="G100">
        <f t="shared" si="11"/>
        <v>77</v>
      </c>
      <c r="H100">
        <f t="shared" si="15"/>
        <v>0.52781585439025724</v>
      </c>
    </row>
    <row r="101" spans="7:10" x14ac:dyDescent="0.35">
      <c r="G101">
        <f t="shared" si="11"/>
        <v>78</v>
      </c>
      <c r="H101">
        <f t="shared" si="15"/>
        <v>0.52345373989116406</v>
      </c>
    </row>
    <row r="102" spans="7:10" x14ac:dyDescent="0.35">
      <c r="G102">
        <f t="shared" si="11"/>
        <v>79</v>
      </c>
      <c r="H102">
        <f t="shared" si="15"/>
        <v>0.51912767592512143</v>
      </c>
    </row>
    <row r="103" spans="7:10" x14ac:dyDescent="0.35">
      <c r="G103">
        <f t="shared" si="11"/>
        <v>80</v>
      </c>
      <c r="H103">
        <f t="shared" si="15"/>
        <v>0.51483736455383944</v>
      </c>
    </row>
    <row r="104" spans="7:10" x14ac:dyDescent="0.35">
      <c r="G104">
        <f t="shared" si="11"/>
        <v>81</v>
      </c>
      <c r="H104">
        <f t="shared" si="15"/>
        <v>0.5105825103013284</v>
      </c>
    </row>
    <row r="105" spans="7:10" x14ac:dyDescent="0.35">
      <c r="G105">
        <f t="shared" si="11"/>
        <v>82</v>
      </c>
      <c r="H105">
        <f t="shared" si="15"/>
        <v>0.50636282013354883</v>
      </c>
    </row>
    <row r="106" spans="7:10" x14ac:dyDescent="0.35">
      <c r="G106">
        <f t="shared" si="11"/>
        <v>83</v>
      </c>
      <c r="H106">
        <f t="shared" si="15"/>
        <v>0.50217800343823027</v>
      </c>
    </row>
    <row r="107" spans="7:10" x14ac:dyDescent="0.35">
      <c r="G107">
        <f t="shared" si="11"/>
        <v>84</v>
      </c>
      <c r="H107">
        <f t="shared" si="15"/>
        <v>0.49802777200485654</v>
      </c>
      <c r="I107">
        <f>SUM($H$24:H107)</f>
        <v>60.236667359417481</v>
      </c>
      <c r="J107">
        <f>14.5/100/I107</f>
        <v>2.4071716838984535E-3</v>
      </c>
    </row>
    <row r="108" spans="7:10" x14ac:dyDescent="0.35">
      <c r="G108">
        <f t="shared" si="11"/>
        <v>85</v>
      </c>
      <c r="H108">
        <f t="shared" si="15"/>
        <v>0.49391184000481642</v>
      </c>
    </row>
    <row r="109" spans="7:10" x14ac:dyDescent="0.35">
      <c r="G109">
        <f t="shared" si="11"/>
        <v>86</v>
      </c>
      <c r="H109">
        <f t="shared" si="15"/>
        <v>0.48982992397171865</v>
      </c>
    </row>
    <row r="110" spans="7:10" x14ac:dyDescent="0.35">
      <c r="G110">
        <f t="shared" si="11"/>
        <v>87</v>
      </c>
      <c r="H110">
        <f t="shared" si="15"/>
        <v>0.48578174278186992</v>
      </c>
    </row>
    <row r="111" spans="7:10" x14ac:dyDescent="0.35">
      <c r="G111">
        <f t="shared" si="11"/>
        <v>88</v>
      </c>
      <c r="H111">
        <f t="shared" si="15"/>
        <v>0.48176701763491236</v>
      </c>
    </row>
    <row r="112" spans="7:10" x14ac:dyDescent="0.35">
      <c r="G112">
        <f t="shared" si="11"/>
        <v>89</v>
      </c>
      <c r="H112">
        <f t="shared" si="15"/>
        <v>0.47778547203462385</v>
      </c>
    </row>
    <row r="113" spans="7:8" x14ac:dyDescent="0.35">
      <c r="G113">
        <f t="shared" si="11"/>
        <v>90</v>
      </c>
      <c r="H113">
        <f t="shared" si="15"/>
        <v>0.47383683176987484</v>
      </c>
    </row>
    <row r="114" spans="7:8" x14ac:dyDescent="0.35">
      <c r="G114">
        <f t="shared" ref="G114:G134" si="16">+G113+1</f>
        <v>91</v>
      </c>
      <c r="H114">
        <f t="shared" si="15"/>
        <v>0.46992082489574366</v>
      </c>
    </row>
    <row r="115" spans="7:8" x14ac:dyDescent="0.35">
      <c r="G115">
        <f t="shared" si="16"/>
        <v>92</v>
      </c>
      <c r="H115">
        <f t="shared" si="15"/>
        <v>0.46603718171478703</v>
      </c>
    </row>
    <row r="116" spans="7:8" x14ac:dyDescent="0.35">
      <c r="G116">
        <f t="shared" si="16"/>
        <v>93</v>
      </c>
      <c r="H116">
        <f t="shared" si="15"/>
        <v>0.46218563475846663</v>
      </c>
    </row>
    <row r="117" spans="7:8" x14ac:dyDescent="0.35">
      <c r="G117">
        <f t="shared" si="16"/>
        <v>94</v>
      </c>
      <c r="H117">
        <f t="shared" si="15"/>
        <v>0.45836591876872723</v>
      </c>
    </row>
    <row r="118" spans="7:8" x14ac:dyDescent="0.35">
      <c r="G118">
        <f t="shared" si="16"/>
        <v>95</v>
      </c>
      <c r="H118">
        <f t="shared" si="15"/>
        <v>0.45457777067972949</v>
      </c>
    </row>
    <row r="119" spans="7:8" x14ac:dyDescent="0.35">
      <c r="G119">
        <f t="shared" si="16"/>
        <v>96</v>
      </c>
      <c r="H119">
        <f t="shared" si="15"/>
        <v>0.45082092959973169</v>
      </c>
    </row>
    <row r="120" spans="7:8" x14ac:dyDescent="0.35">
      <c r="G120">
        <f t="shared" si="16"/>
        <v>97</v>
      </c>
      <c r="H120">
        <f t="shared" si="15"/>
        <v>0.44709513679312241</v>
      </c>
    </row>
    <row r="121" spans="7:8" x14ac:dyDescent="0.35">
      <c r="G121">
        <f t="shared" si="16"/>
        <v>98</v>
      </c>
      <c r="H121">
        <f t="shared" si="15"/>
        <v>0.44340013566260067</v>
      </c>
    </row>
    <row r="122" spans="7:8" x14ac:dyDescent="0.35">
      <c r="G122">
        <f t="shared" si="16"/>
        <v>99</v>
      </c>
      <c r="H122">
        <f t="shared" si="15"/>
        <v>0.43973567173150491</v>
      </c>
    </row>
    <row r="123" spans="7:8" x14ac:dyDescent="0.35">
      <c r="G123">
        <f t="shared" si="16"/>
        <v>100</v>
      </c>
      <c r="H123">
        <f t="shared" si="15"/>
        <v>0.43610149262628589</v>
      </c>
    </row>
    <row r="124" spans="7:8" x14ac:dyDescent="0.35">
      <c r="G124">
        <f t="shared" si="16"/>
        <v>101</v>
      </c>
      <c r="H124">
        <f t="shared" si="15"/>
        <v>0.43249734805912649</v>
      </c>
    </row>
    <row r="125" spans="7:8" x14ac:dyDescent="0.35">
      <c r="G125">
        <f t="shared" si="16"/>
        <v>102</v>
      </c>
      <c r="H125">
        <f t="shared" si="15"/>
        <v>0.42892298981070393</v>
      </c>
    </row>
    <row r="126" spans="7:8" x14ac:dyDescent="0.35">
      <c r="G126">
        <f t="shared" si="16"/>
        <v>103</v>
      </c>
      <c r="H126">
        <f t="shared" si="15"/>
        <v>0.42537817171309494</v>
      </c>
    </row>
    <row r="127" spans="7:8" x14ac:dyDescent="0.35">
      <c r="G127">
        <f t="shared" si="16"/>
        <v>104</v>
      </c>
      <c r="H127">
        <f t="shared" si="15"/>
        <v>0.42186264963282138</v>
      </c>
    </row>
    <row r="128" spans="7:8" x14ac:dyDescent="0.35">
      <c r="G128">
        <f t="shared" si="16"/>
        <v>105</v>
      </c>
      <c r="H128">
        <f t="shared" si="15"/>
        <v>0.41837618145403777</v>
      </c>
    </row>
    <row r="129" spans="7:8" x14ac:dyDescent="0.35">
      <c r="G129">
        <f t="shared" si="16"/>
        <v>106</v>
      </c>
      <c r="H129">
        <f t="shared" si="15"/>
        <v>0.41491852706185561</v>
      </c>
    </row>
    <row r="130" spans="7:8" x14ac:dyDescent="0.35">
      <c r="G130">
        <f t="shared" si="16"/>
        <v>107</v>
      </c>
      <c r="H130">
        <f t="shared" si="15"/>
        <v>0.41148944832580731</v>
      </c>
    </row>
    <row r="131" spans="7:8" x14ac:dyDescent="0.35">
      <c r="G131">
        <f t="shared" si="16"/>
        <v>108</v>
      </c>
      <c r="H131">
        <f t="shared" si="15"/>
        <v>0.40808870908344513</v>
      </c>
    </row>
    <row r="132" spans="7:8" x14ac:dyDescent="0.35">
      <c r="G132">
        <f t="shared" si="16"/>
        <v>109</v>
      </c>
      <c r="H132">
        <f t="shared" si="15"/>
        <v>0.40471607512407798</v>
      </c>
    </row>
    <row r="133" spans="7:8" x14ac:dyDescent="0.35">
      <c r="G133">
        <f t="shared" si="16"/>
        <v>110</v>
      </c>
      <c r="H133">
        <f t="shared" si="15"/>
        <v>0.40137131417263927</v>
      </c>
    </row>
    <row r="134" spans="7:8" x14ac:dyDescent="0.35">
      <c r="G134">
        <f t="shared" si="16"/>
        <v>111</v>
      </c>
      <c r="H134">
        <f t="shared" si="15"/>
        <v>0.3980541958736919</v>
      </c>
    </row>
  </sheetData>
  <phoneticPr fontId="0" type="noConversion"/>
  <pageMargins left="0.75" right="0.75" top="1" bottom="1" header="0.5" footer="0.5"/>
  <pageSetup orientation="portrait" horizontalDpi="30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
  <sheetViews>
    <sheetView topLeftCell="B10" workbookViewId="0">
      <selection activeCell="A13" sqref="A13"/>
    </sheetView>
  </sheetViews>
  <sheetFormatPr defaultRowHeight="15.5" x14ac:dyDescent="0.35"/>
  <cols>
    <col min="1" max="1" width="28" customWidth="1"/>
    <col min="2" max="2" width="12.4140625" style="95" customWidth="1"/>
    <col min="3" max="3" width="15.1640625" style="95" customWidth="1"/>
    <col min="4" max="4" width="17" customWidth="1"/>
    <col min="5" max="5" width="22.08203125" customWidth="1"/>
    <col min="6" max="6" width="16.6640625" customWidth="1"/>
    <col min="7" max="7" width="19.58203125" customWidth="1"/>
  </cols>
  <sheetData>
    <row r="1" spans="1:5" ht="30.5" x14ac:dyDescent="0.65">
      <c r="A1" s="33"/>
      <c r="B1" s="88"/>
      <c r="C1" s="88"/>
      <c r="D1" s="89" t="s">
        <v>530</v>
      </c>
      <c r="E1" s="89" t="s">
        <v>531</v>
      </c>
    </row>
    <row r="2" spans="1:5" ht="30.5" x14ac:dyDescent="0.65">
      <c r="A2" s="33"/>
      <c r="B2" s="90">
        <v>2009</v>
      </c>
      <c r="C2" s="88" t="s">
        <v>532</v>
      </c>
      <c r="D2" s="88" t="s">
        <v>532</v>
      </c>
      <c r="E2" s="88" t="s">
        <v>532</v>
      </c>
    </row>
    <row r="3" spans="1:5" ht="30.5" x14ac:dyDescent="0.65">
      <c r="A3" s="33" t="s">
        <v>533</v>
      </c>
      <c r="B3" s="88" t="s">
        <v>534</v>
      </c>
      <c r="C3" s="88" t="s">
        <v>535</v>
      </c>
      <c r="D3" s="88" t="s">
        <v>535</v>
      </c>
      <c r="E3" s="88" t="s">
        <v>535</v>
      </c>
    </row>
    <row r="4" spans="1:5" ht="30.5" x14ac:dyDescent="0.65">
      <c r="A4" s="33"/>
      <c r="B4" s="88" t="s">
        <v>536</v>
      </c>
      <c r="C4" s="88" t="s">
        <v>108</v>
      </c>
      <c r="D4" s="88" t="s">
        <v>108</v>
      </c>
      <c r="E4" s="88" t="s">
        <v>108</v>
      </c>
    </row>
    <row r="5" spans="1:5" ht="30.5" x14ac:dyDescent="0.65">
      <c r="A5" s="33" t="s">
        <v>520</v>
      </c>
      <c r="B5" s="88">
        <v>31.129858597422821</v>
      </c>
      <c r="C5" s="88">
        <v>4.6022269080290847</v>
      </c>
      <c r="D5" s="88">
        <f>20/6.8</f>
        <v>2.9411764705882355</v>
      </c>
      <c r="E5" s="88">
        <v>2.5</v>
      </c>
    </row>
    <row r="6" spans="1:5" ht="30.5" x14ac:dyDescent="0.65">
      <c r="A6" s="91" t="s">
        <v>137</v>
      </c>
      <c r="B6" s="92">
        <v>7.5184558447769989</v>
      </c>
      <c r="C6" s="92">
        <v>5.6470300771946809</v>
      </c>
      <c r="D6" s="91"/>
      <c r="E6" s="92"/>
    </row>
    <row r="7" spans="1:5" ht="30.5" x14ac:dyDescent="0.65">
      <c r="A7" s="91" t="s">
        <v>516</v>
      </c>
      <c r="B7" s="92">
        <v>5.941874882068209</v>
      </c>
      <c r="C7" s="92">
        <v>19.341285112782735</v>
      </c>
      <c r="D7" s="91"/>
      <c r="E7" s="92"/>
    </row>
    <row r="8" spans="1:5" ht="30.5" x14ac:dyDescent="0.65">
      <c r="A8" s="91" t="s">
        <v>537</v>
      </c>
      <c r="B8" s="92">
        <v>4.0999999999999996</v>
      </c>
      <c r="C8" s="92">
        <v>10.1</v>
      </c>
      <c r="D8" s="91"/>
      <c r="E8" s="92"/>
    </row>
    <row r="9" spans="1:5" ht="30.5" x14ac:dyDescent="0.65">
      <c r="A9" s="91" t="s">
        <v>29</v>
      </c>
      <c r="B9" s="92">
        <v>2.353801382216818</v>
      </c>
      <c r="C9" s="92">
        <v>8.3088050485962022</v>
      </c>
      <c r="D9" s="91"/>
      <c r="E9" s="92"/>
    </row>
    <row r="10" spans="1:5" ht="30.5" x14ac:dyDescent="0.65">
      <c r="A10" s="91" t="s">
        <v>138</v>
      </c>
      <c r="B10" s="92">
        <v>1.5390523826167763</v>
      </c>
      <c r="C10" s="92">
        <v>1.3303267726426846</v>
      </c>
      <c r="D10" s="91"/>
      <c r="E10" s="92"/>
    </row>
    <row r="11" spans="1:5" ht="30.5" x14ac:dyDescent="0.65">
      <c r="A11" s="91" t="s">
        <v>190</v>
      </c>
      <c r="B11" s="92">
        <v>1.5353422898778339</v>
      </c>
      <c r="C11" s="92">
        <v>10.963519896871873</v>
      </c>
      <c r="D11" s="91"/>
      <c r="E11" s="92"/>
    </row>
    <row r="12" spans="1:5" ht="30.5" x14ac:dyDescent="0.65">
      <c r="A12" s="91" t="s">
        <v>470</v>
      </c>
      <c r="B12" s="92">
        <v>1.1594551353275604</v>
      </c>
      <c r="C12" s="92">
        <v>1.9853989793122846</v>
      </c>
      <c r="D12" s="91"/>
      <c r="E12" s="92"/>
    </row>
    <row r="13" spans="1:5" ht="30.5" x14ac:dyDescent="0.65">
      <c r="A13" s="91" t="s">
        <v>135</v>
      </c>
      <c r="B13" s="92">
        <v>1.0662677402809788</v>
      </c>
      <c r="C13" s="92">
        <v>1.0765520419376089</v>
      </c>
      <c r="D13" s="91"/>
      <c r="E13" s="92"/>
    </row>
    <row r="14" spans="1:5" ht="30.5" x14ac:dyDescent="0.65">
      <c r="A14" s="91" t="s">
        <v>129</v>
      </c>
      <c r="B14" s="92">
        <v>0.53760296056206691</v>
      </c>
      <c r="C14" s="92">
        <v>18.740299109773307</v>
      </c>
      <c r="D14" s="91"/>
      <c r="E14" s="92"/>
    </row>
    <row r="15" spans="1:5" ht="30.5" x14ac:dyDescent="0.65">
      <c r="A15" s="91" t="s">
        <v>134</v>
      </c>
      <c r="B15" s="92">
        <v>0.46855611391904128</v>
      </c>
      <c r="C15" s="92">
        <v>9.5522326086406526</v>
      </c>
      <c r="D15" s="91"/>
      <c r="E15" s="92"/>
    </row>
    <row r="16" spans="1:5" ht="30" customHeight="1" x14ac:dyDescent="0.65">
      <c r="A16" s="91" t="s">
        <v>115</v>
      </c>
      <c r="B16" s="92">
        <v>0.40943695465464264</v>
      </c>
      <c r="C16" s="92">
        <v>2.0601741714240416</v>
      </c>
      <c r="D16" s="91"/>
      <c r="E16" s="92"/>
    </row>
    <row r="17" spans="1:7" ht="27.75" customHeight="1" x14ac:dyDescent="0.65">
      <c r="A17" s="91" t="s">
        <v>118</v>
      </c>
      <c r="B17" s="92">
        <v>0.39867963705698395</v>
      </c>
      <c r="C17" s="92">
        <v>6.1887556202574343</v>
      </c>
      <c r="D17" s="91"/>
      <c r="E17" s="92"/>
    </row>
    <row r="18" spans="1:7" ht="30.5" x14ac:dyDescent="0.65">
      <c r="A18" s="91" t="s">
        <v>136</v>
      </c>
      <c r="B18" s="92">
        <v>0.38659923331231966</v>
      </c>
      <c r="C18" s="92">
        <v>18.181782124456554</v>
      </c>
      <c r="D18" s="91"/>
      <c r="E18" s="92"/>
    </row>
    <row r="19" spans="1:7" ht="30.5" x14ac:dyDescent="0.65">
      <c r="A19" s="91" t="s">
        <v>317</v>
      </c>
      <c r="B19" s="92">
        <v>0.18020503856325809</v>
      </c>
      <c r="C19" s="92">
        <v>38.687213087861338</v>
      </c>
      <c r="D19" s="91"/>
      <c r="E19" s="92"/>
    </row>
    <row r="20" spans="1:7" ht="30.5" x14ac:dyDescent="0.65">
      <c r="A20" s="91" t="s">
        <v>309</v>
      </c>
      <c r="B20" s="92">
        <v>6.9794106449287019E-2</v>
      </c>
      <c r="C20" s="92">
        <v>83.786442316070833</v>
      </c>
      <c r="D20" s="91"/>
      <c r="E20" s="92"/>
    </row>
    <row r="22" spans="1:7" ht="30.5" x14ac:dyDescent="0.65">
      <c r="A22" s="33"/>
      <c r="B22" s="90">
        <v>2009</v>
      </c>
      <c r="C22" s="88" t="s">
        <v>532</v>
      </c>
      <c r="D22" s="93"/>
      <c r="E22" s="33"/>
      <c r="F22" s="90">
        <v>2009</v>
      </c>
      <c r="G22" s="88" t="s">
        <v>532</v>
      </c>
    </row>
    <row r="23" spans="1:7" ht="30.5" x14ac:dyDescent="0.65">
      <c r="A23" s="33" t="s">
        <v>533</v>
      </c>
      <c r="B23" s="88" t="s">
        <v>534</v>
      </c>
      <c r="C23" s="88" t="s">
        <v>535</v>
      </c>
      <c r="D23" s="93"/>
      <c r="E23" s="33" t="s">
        <v>533</v>
      </c>
      <c r="F23" s="88" t="s">
        <v>534</v>
      </c>
      <c r="G23" s="88" t="s">
        <v>535</v>
      </c>
    </row>
    <row r="24" spans="1:7" ht="30.5" x14ac:dyDescent="0.65">
      <c r="A24" s="33"/>
      <c r="B24" s="88" t="s">
        <v>536</v>
      </c>
      <c r="C24" s="88" t="s">
        <v>108</v>
      </c>
      <c r="D24" s="93"/>
      <c r="E24" s="33"/>
      <c r="F24" s="88" t="s">
        <v>536</v>
      </c>
      <c r="G24" s="88" t="s">
        <v>108</v>
      </c>
    </row>
    <row r="25" spans="1:7" ht="30.5" x14ac:dyDescent="0.65">
      <c r="A25" s="33" t="s">
        <v>520</v>
      </c>
      <c r="B25" s="94">
        <v>31.129858597422821</v>
      </c>
      <c r="C25" s="94">
        <v>4.6022269080290847</v>
      </c>
      <c r="D25" s="93"/>
      <c r="E25" s="33" t="s">
        <v>135</v>
      </c>
      <c r="F25" s="94">
        <v>1.0662677402809788</v>
      </c>
      <c r="G25" s="94">
        <v>1.0765520419376089</v>
      </c>
    </row>
    <row r="26" spans="1:7" ht="30.5" x14ac:dyDescent="0.65">
      <c r="A26" s="33" t="s">
        <v>137</v>
      </c>
      <c r="B26" s="94">
        <v>7.5184558447769989</v>
      </c>
      <c r="C26" s="94">
        <v>5.6470300771946809</v>
      </c>
      <c r="D26" s="93"/>
      <c r="E26" s="33" t="s">
        <v>129</v>
      </c>
      <c r="F26" s="94">
        <v>0.53760296056206691</v>
      </c>
      <c r="G26" s="94">
        <v>18.740299109773307</v>
      </c>
    </row>
    <row r="27" spans="1:7" ht="30.5" x14ac:dyDescent="0.65">
      <c r="A27" s="33" t="s">
        <v>516</v>
      </c>
      <c r="B27" s="94">
        <v>5.941874882068209</v>
      </c>
      <c r="C27" s="94">
        <v>19.341285112782735</v>
      </c>
      <c r="D27" s="93"/>
      <c r="E27" s="33" t="s">
        <v>134</v>
      </c>
      <c r="F27" s="94">
        <v>0.46855611391904128</v>
      </c>
      <c r="G27" s="94">
        <v>9.5522326086406526</v>
      </c>
    </row>
    <row r="28" spans="1:7" ht="30.5" x14ac:dyDescent="0.65">
      <c r="A28" s="33" t="s">
        <v>537</v>
      </c>
      <c r="B28" s="94">
        <v>4.0999999999999996</v>
      </c>
      <c r="C28" s="94">
        <v>10.1</v>
      </c>
      <c r="D28" s="93"/>
      <c r="E28" s="33" t="s">
        <v>115</v>
      </c>
      <c r="F28" s="94">
        <v>0.40943695465464264</v>
      </c>
      <c r="G28" s="94">
        <v>2.0601741714240416</v>
      </c>
    </row>
    <row r="29" spans="1:7" ht="30.5" x14ac:dyDescent="0.65">
      <c r="A29" s="33" t="s">
        <v>29</v>
      </c>
      <c r="B29" s="94">
        <v>2.353801382216818</v>
      </c>
      <c r="C29" s="94">
        <v>8.3088050485962022</v>
      </c>
      <c r="D29" s="93"/>
      <c r="E29" s="33" t="s">
        <v>118</v>
      </c>
      <c r="F29" s="94">
        <v>0.39867963705698395</v>
      </c>
      <c r="G29" s="94">
        <v>6.1887556202574343</v>
      </c>
    </row>
    <row r="30" spans="1:7" ht="30.5" x14ac:dyDescent="0.65">
      <c r="A30" s="33" t="s">
        <v>138</v>
      </c>
      <c r="B30" s="94">
        <v>1.5390523826167763</v>
      </c>
      <c r="C30" s="94">
        <v>1.3303267726426846</v>
      </c>
      <c r="D30" s="93"/>
      <c r="E30" s="33" t="s">
        <v>136</v>
      </c>
      <c r="F30" s="94">
        <v>0.38659923331231966</v>
      </c>
      <c r="G30" s="94">
        <v>18.181782124456554</v>
      </c>
    </row>
    <row r="31" spans="1:7" ht="30.5" x14ac:dyDescent="0.65">
      <c r="A31" s="33" t="s">
        <v>190</v>
      </c>
      <c r="B31" s="94">
        <v>1.5353422898778339</v>
      </c>
      <c r="C31" s="94">
        <v>10.963519896871873</v>
      </c>
      <c r="D31" s="93"/>
      <c r="E31" s="33" t="s">
        <v>317</v>
      </c>
      <c r="F31" s="94">
        <v>0.18020503856325809</v>
      </c>
      <c r="G31" s="94">
        <v>38.687213087861338</v>
      </c>
    </row>
    <row r="32" spans="1:7" ht="30.5" x14ac:dyDescent="0.65">
      <c r="A32" s="33" t="s">
        <v>538</v>
      </c>
      <c r="B32" s="94">
        <v>1.1594551353275604</v>
      </c>
      <c r="C32" s="94">
        <v>1.9853989793122846</v>
      </c>
      <c r="D32" s="93"/>
      <c r="E32" s="33" t="s">
        <v>309</v>
      </c>
      <c r="F32" s="94">
        <v>6.9794106449287019E-2</v>
      </c>
      <c r="G32" s="94">
        <v>83.786442316070833</v>
      </c>
    </row>
  </sheetData>
  <phoneticPr fontId="18" type="noConversion"/>
  <pageMargins left="0.75" right="0.75" top="1" bottom="1"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0"/>
    <pageSetUpPr fitToPage="1"/>
  </sheetPr>
  <dimension ref="A1:I128"/>
  <sheetViews>
    <sheetView showGridLines="0" workbookViewId="0">
      <pane xSplit="2" ySplit="3" topLeftCell="C4" activePane="bottomRight" state="frozen"/>
      <selection pane="topRight" activeCell="B1" sqref="B1"/>
      <selection pane="bottomLeft" activeCell="A4" sqref="A4"/>
      <selection pane="bottomRight" activeCell="G7" sqref="G7"/>
    </sheetView>
  </sheetViews>
  <sheetFormatPr defaultColWidth="7" defaultRowHeight="35" x14ac:dyDescent="0.7"/>
  <cols>
    <col min="1" max="1" width="7" style="59" customWidth="1"/>
    <col min="2" max="2" width="21.5" style="59" customWidth="1"/>
    <col min="3" max="5" width="7" style="59" customWidth="1"/>
    <col min="6" max="6" width="9.08203125" style="59" customWidth="1"/>
    <col min="7" max="7" width="7" style="59" customWidth="1"/>
    <col min="8" max="8" width="44.58203125" style="85" customWidth="1"/>
    <col min="9" max="9" width="16.4140625" style="85" customWidth="1"/>
    <col min="10" max="16384" width="7" style="59"/>
  </cols>
  <sheetData>
    <row r="1" spans="1:9" s="57" customFormat="1" x14ac:dyDescent="0.7">
      <c r="B1" s="58" t="s">
        <v>417</v>
      </c>
      <c r="C1" s="59"/>
      <c r="D1" s="60" t="s">
        <v>418</v>
      </c>
      <c r="E1" s="60">
        <v>2009</v>
      </c>
      <c r="H1" s="83"/>
      <c r="I1" s="83"/>
    </row>
    <row r="2" spans="1:9" s="57" customFormat="1" x14ac:dyDescent="0.7">
      <c r="B2" s="59"/>
      <c r="C2" s="59"/>
      <c r="D2" s="60" t="s">
        <v>419</v>
      </c>
      <c r="E2" s="60" t="s">
        <v>420</v>
      </c>
      <c r="H2" s="83"/>
      <c r="I2" s="83"/>
    </row>
    <row r="3" spans="1:9" s="61" customFormat="1" ht="35.5" x14ac:dyDescent="0.75">
      <c r="B3" s="59" t="s">
        <v>421</v>
      </c>
      <c r="C3" s="62">
        <v>2009</v>
      </c>
      <c r="D3" s="60">
        <v>2008</v>
      </c>
      <c r="E3" s="60" t="s">
        <v>422</v>
      </c>
      <c r="F3" s="61" t="s">
        <v>423</v>
      </c>
      <c r="H3" s="86" t="s">
        <v>530</v>
      </c>
      <c r="I3" s="87">
        <v>2.9</v>
      </c>
    </row>
    <row r="4" spans="1:9" s="61" customFormat="1" ht="35.5" x14ac:dyDescent="0.75">
      <c r="B4" s="59"/>
      <c r="C4" s="62"/>
      <c r="D4" s="59"/>
      <c r="E4" s="59"/>
      <c r="H4" s="86" t="s">
        <v>520</v>
      </c>
      <c r="I4" s="87">
        <v>4.6022269080290847</v>
      </c>
    </row>
    <row r="5" spans="1:9" s="61" customFormat="1" ht="35.5" x14ac:dyDescent="0.75">
      <c r="A5" s="59" t="s">
        <v>424</v>
      </c>
      <c r="B5" s="62" t="s">
        <v>135</v>
      </c>
      <c r="C5" s="63">
        <v>1066.2677402809788</v>
      </c>
      <c r="D5" s="64">
        <v>-1.1712106518044108E-2</v>
      </c>
      <c r="E5" s="65">
        <v>3.4252251321477349E-2</v>
      </c>
      <c r="F5" s="66">
        <v>1.0765520419376089</v>
      </c>
      <c r="H5" s="86" t="s">
        <v>135</v>
      </c>
      <c r="I5" s="87">
        <v>1.0765520419376089</v>
      </c>
    </row>
    <row r="6" spans="1:9" s="61" customFormat="1" ht="35.5" x14ac:dyDescent="0.75">
      <c r="A6" s="59" t="s">
        <v>425</v>
      </c>
      <c r="B6" s="59" t="s">
        <v>202</v>
      </c>
      <c r="C6" s="63">
        <v>104.8442458751243</v>
      </c>
      <c r="D6" s="67">
        <v>5.9596619006190066E-2</v>
      </c>
      <c r="E6" s="68">
        <v>3.3679640897502868E-3</v>
      </c>
      <c r="F6" s="66">
        <v>3.0675945308421877</v>
      </c>
      <c r="H6" s="86" t="s">
        <v>136</v>
      </c>
      <c r="I6" s="87">
        <v>18.181782124456554</v>
      </c>
    </row>
    <row r="7" spans="1:9" s="61" customFormat="1" ht="35.5" x14ac:dyDescent="0.75">
      <c r="A7" s="69" t="s">
        <v>426</v>
      </c>
      <c r="B7" s="62" t="s">
        <v>427</v>
      </c>
      <c r="C7" s="63">
        <v>13273.339949516392</v>
      </c>
      <c r="D7" s="64">
        <v>4.7456902765124154E-2</v>
      </c>
      <c r="E7" s="65">
        <v>0.42638613047266666</v>
      </c>
      <c r="F7" s="66" t="e">
        <v>#N/A</v>
      </c>
      <c r="H7" s="86" t="s">
        <v>115</v>
      </c>
      <c r="I7" s="87">
        <v>2.0601741714240416</v>
      </c>
    </row>
    <row r="8" spans="1:9" s="61" customFormat="1" ht="35.5" x14ac:dyDescent="0.75">
      <c r="A8" s="59" t="s">
        <v>428</v>
      </c>
      <c r="B8" s="70" t="s">
        <v>114</v>
      </c>
      <c r="C8" s="71">
        <v>164.22477337323159</v>
      </c>
      <c r="D8" s="72">
        <v>-3.8531760743392707E-2</v>
      </c>
      <c r="E8" s="73">
        <v>5.275474440697505E-3</v>
      </c>
      <c r="F8" s="66">
        <v>4.0139016809217285</v>
      </c>
      <c r="H8" s="86" t="s">
        <v>110</v>
      </c>
      <c r="I8" s="87">
        <v>17.997640123466329</v>
      </c>
    </row>
    <row r="9" spans="1:9" s="61" customFormat="1" ht="35.5" x14ac:dyDescent="0.75">
      <c r="A9" s="59" t="s">
        <v>429</v>
      </c>
      <c r="B9" s="59" t="s">
        <v>136</v>
      </c>
      <c r="C9" s="63">
        <v>386.59923331231965</v>
      </c>
      <c r="D9" s="67">
        <v>-5.2901568048180359E-4</v>
      </c>
      <c r="E9" s="68">
        <v>1.2418920314155408E-2</v>
      </c>
      <c r="F9" s="66">
        <v>18.181782124456554</v>
      </c>
      <c r="H9" s="86" t="s">
        <v>137</v>
      </c>
      <c r="I9" s="87">
        <v>5.6470300771946809</v>
      </c>
    </row>
    <row r="10" spans="1:9" s="61" customFormat="1" ht="35.5" x14ac:dyDescent="0.75">
      <c r="A10" s="59" t="s">
        <v>430</v>
      </c>
      <c r="B10" s="59" t="s">
        <v>206</v>
      </c>
      <c r="C10" s="63">
        <v>68.751761649109056</v>
      </c>
      <c r="D10" s="67">
        <v>-1.938716775929894E-2</v>
      </c>
      <c r="E10" s="68">
        <v>2.2085471873875095E-3</v>
      </c>
      <c r="F10" s="66">
        <v>8.374148800135087</v>
      </c>
      <c r="H10" s="86" t="s">
        <v>449</v>
      </c>
      <c r="I10" s="87">
        <v>10.103632654099725</v>
      </c>
    </row>
    <row r="11" spans="1:9" s="61" customFormat="1" ht="35.5" x14ac:dyDescent="0.75">
      <c r="A11" s="59" t="s">
        <v>431</v>
      </c>
      <c r="B11" s="59" t="s">
        <v>207</v>
      </c>
      <c r="C11" s="63">
        <v>24.836975888586213</v>
      </c>
      <c r="D11" s="67">
        <v>-0.17469808338412474</v>
      </c>
      <c r="E11" s="68">
        <v>7.9785058486074893E-4</v>
      </c>
      <c r="F11" s="66">
        <v>3.0145619478803511</v>
      </c>
      <c r="H11" s="86" t="s">
        <v>138</v>
      </c>
      <c r="I11" s="87">
        <v>1.3303267726426846</v>
      </c>
    </row>
    <row r="12" spans="1:9" s="61" customFormat="1" ht="35.5" x14ac:dyDescent="0.75">
      <c r="A12" s="59" t="s">
        <v>432</v>
      </c>
      <c r="B12" s="59" t="s">
        <v>210</v>
      </c>
      <c r="C12" s="63">
        <v>56.986846077414732</v>
      </c>
      <c r="D12" s="67">
        <v>7.6935615802510959E-2</v>
      </c>
      <c r="E12" s="68">
        <v>1.8306169268026344E-3</v>
      </c>
      <c r="F12" s="66">
        <v>0.36518090930154073</v>
      </c>
      <c r="H12" s="86" t="s">
        <v>470</v>
      </c>
      <c r="I12" s="87">
        <v>1.9853989793122846</v>
      </c>
    </row>
    <row r="13" spans="1:9" s="61" customFormat="1" ht="35.5" x14ac:dyDescent="0.75">
      <c r="A13" s="59" t="s">
        <v>433</v>
      </c>
      <c r="B13" s="59" t="s">
        <v>212</v>
      </c>
      <c r="C13" s="63">
        <v>62.931797915377331</v>
      </c>
      <c r="D13" s="67">
        <v>-5.1854217449350148E-2</v>
      </c>
      <c r="E13" s="68">
        <v>2.0215895847527981E-3</v>
      </c>
      <c r="F13" s="66">
        <v>6.5221057016662174</v>
      </c>
      <c r="H13" s="86" t="s">
        <v>129</v>
      </c>
      <c r="I13" s="87">
        <v>18.740299109773307</v>
      </c>
    </row>
    <row r="14" spans="1:9" s="61" customFormat="1" ht="35.5" x14ac:dyDescent="0.75">
      <c r="A14" s="59" t="s">
        <v>434</v>
      </c>
      <c r="B14" s="59" t="s">
        <v>435</v>
      </c>
      <c r="C14" s="63">
        <v>172.810233513756</v>
      </c>
      <c r="D14" s="67">
        <v>-2.5643538961132251E-2</v>
      </c>
      <c r="E14" s="68">
        <v>5.5512694660316449E-3</v>
      </c>
      <c r="F14" s="66" t="e">
        <v>#N/A</v>
      </c>
      <c r="H14" s="86" t="s">
        <v>516</v>
      </c>
      <c r="I14" s="87">
        <v>19.341285112782735</v>
      </c>
    </row>
    <row r="15" spans="1:9" s="61" customFormat="1" ht="35.5" x14ac:dyDescent="0.75">
      <c r="A15" s="59" t="s">
        <v>436</v>
      </c>
      <c r="B15" s="59" t="s">
        <v>115</v>
      </c>
      <c r="C15" s="63">
        <v>409.43695465464265</v>
      </c>
      <c r="D15" s="67">
        <v>-4.177773994411571E-2</v>
      </c>
      <c r="E15" s="68">
        <v>1.3152547846411969E-2</v>
      </c>
      <c r="F15" s="66">
        <v>2.0601741714240416</v>
      </c>
      <c r="H15" s="86" t="s">
        <v>134</v>
      </c>
      <c r="I15" s="87">
        <v>9.5522326086406526</v>
      </c>
    </row>
    <row r="16" spans="1:9" s="61" customFormat="1" ht="15.5" x14ac:dyDescent="0.35">
      <c r="A16" s="59" t="s">
        <v>437</v>
      </c>
      <c r="B16" s="59" t="s">
        <v>220</v>
      </c>
      <c r="C16" s="63">
        <v>43.72831860072931</v>
      </c>
      <c r="D16" s="67">
        <v>-0.14224690271965279</v>
      </c>
      <c r="E16" s="68">
        <v>1.4047066247949321E-3</v>
      </c>
      <c r="F16" s="66">
        <v>6.0691628869853309</v>
      </c>
    </row>
    <row r="17" spans="1:9" s="61" customFormat="1" ht="15.5" x14ac:dyDescent="0.35">
      <c r="A17" s="59" t="s">
        <v>438</v>
      </c>
      <c r="B17" s="59" t="s">
        <v>110</v>
      </c>
      <c r="C17" s="63">
        <v>602.68697481451693</v>
      </c>
      <c r="D17" s="67">
        <v>-5.8214976860829992E-2</v>
      </c>
      <c r="E17" s="68">
        <v>1.9360414790461404E-2</v>
      </c>
      <c r="F17" s="66">
        <v>17.997640123466329</v>
      </c>
    </row>
    <row r="18" spans="1:9" s="61" customFormat="1" ht="15.5" x14ac:dyDescent="0.35">
      <c r="A18" s="74" t="s">
        <v>439</v>
      </c>
      <c r="B18" s="70" t="s">
        <v>228</v>
      </c>
      <c r="C18" s="71">
        <v>70.277453434760005</v>
      </c>
      <c r="D18" s="72">
        <v>-3.2737347216281187E-2</v>
      </c>
      <c r="E18" s="73">
        <v>2.2575577468436727E-3</v>
      </c>
      <c r="F18" s="66">
        <v>4.2330715235971574</v>
      </c>
      <c r="H18" s="69"/>
      <c r="I18" s="69"/>
    </row>
    <row r="19" spans="1:9" s="61" customFormat="1" ht="15.5" x14ac:dyDescent="0.35">
      <c r="A19" s="59" t="s">
        <v>440</v>
      </c>
      <c r="B19" s="59" t="s">
        <v>137</v>
      </c>
      <c r="C19" s="63">
        <v>7518.4558447769987</v>
      </c>
      <c r="D19" s="67">
        <v>9.1362299114800871E-2</v>
      </c>
      <c r="E19" s="68">
        <v>0.2415191132734357</v>
      </c>
      <c r="F19" s="66">
        <v>5.6470300771946809</v>
      </c>
    </row>
    <row r="20" spans="1:9" s="61" customFormat="1" x14ac:dyDescent="0.7">
      <c r="A20" s="59" t="s">
        <v>441</v>
      </c>
      <c r="B20" s="59" t="s">
        <v>442</v>
      </c>
      <c r="C20" s="63">
        <v>78.456695156726795</v>
      </c>
      <c r="D20" s="67">
        <v>1.3575394275614272E-2</v>
      </c>
      <c r="E20" s="68">
        <v>2.5203036149744049E-3</v>
      </c>
      <c r="F20" s="66" t="e">
        <v>#N/A</v>
      </c>
      <c r="H20" s="83"/>
      <c r="I20" s="83"/>
    </row>
    <row r="21" spans="1:9" s="61" customFormat="1" x14ac:dyDescent="0.7">
      <c r="A21" s="59" t="s">
        <v>443</v>
      </c>
      <c r="B21" s="59" t="s">
        <v>229</v>
      </c>
      <c r="C21" s="63">
        <v>57.89491551211497</v>
      </c>
      <c r="D21" s="67">
        <v>5.8159674753081925E-2</v>
      </c>
      <c r="E21" s="68">
        <v>1.8597872949190964E-3</v>
      </c>
      <c r="F21" s="66">
        <v>1.3255240861807123</v>
      </c>
      <c r="H21" s="83"/>
      <c r="I21" s="83"/>
    </row>
    <row r="22" spans="1:9" s="61" customFormat="1" x14ac:dyDescent="0.7">
      <c r="A22" s="59" t="s">
        <v>444</v>
      </c>
      <c r="B22" s="59" t="s">
        <v>186</v>
      </c>
      <c r="C22" s="63">
        <v>109.47441343753502</v>
      </c>
      <c r="D22" s="67">
        <v>-6.7591482375845668E-2</v>
      </c>
      <c r="E22" s="68">
        <v>3.516701275559221E-3</v>
      </c>
      <c r="F22" s="66">
        <v>6.9840136164296664</v>
      </c>
      <c r="H22" s="83"/>
      <c r="I22" s="83"/>
    </row>
    <row r="23" spans="1:9" s="61" customFormat="1" x14ac:dyDescent="0.7">
      <c r="A23" s="59" t="s">
        <v>445</v>
      </c>
      <c r="B23" s="59" t="s">
        <v>237</v>
      </c>
      <c r="C23" s="63">
        <v>50.261409648317638</v>
      </c>
      <c r="D23" s="67">
        <v>-5.6481866959038562E-2</v>
      </c>
      <c r="E23" s="68">
        <v>1.6145723724064289E-3</v>
      </c>
      <c r="F23" s="66">
        <v>9.1367768857148945</v>
      </c>
      <c r="H23" s="83"/>
      <c r="I23" s="83"/>
    </row>
    <row r="24" spans="1:9" s="61" customFormat="1" x14ac:dyDescent="0.7">
      <c r="A24" s="59" t="s">
        <v>446</v>
      </c>
      <c r="B24" s="59" t="s">
        <v>241</v>
      </c>
      <c r="C24" s="63">
        <v>31.325297526195264</v>
      </c>
      <c r="D24" s="67">
        <v>5.3828233581437068E-2</v>
      </c>
      <c r="E24" s="68">
        <v>1.0062781823489755E-3</v>
      </c>
      <c r="F24" s="66">
        <v>2.1495435069097142</v>
      </c>
      <c r="H24" s="83"/>
      <c r="I24" s="83"/>
    </row>
    <row r="25" spans="1:9" s="61" customFormat="1" x14ac:dyDescent="0.7">
      <c r="A25" s="59" t="s">
        <v>447</v>
      </c>
      <c r="B25" s="59" t="s">
        <v>132</v>
      </c>
      <c r="C25" s="63">
        <v>197.81238308947761</v>
      </c>
      <c r="D25" s="67">
        <v>3.8021185725811257E-2</v>
      </c>
      <c r="E25" s="68">
        <v>6.3544260077639447E-3</v>
      </c>
      <c r="F25" s="66">
        <v>2.5081768431597196</v>
      </c>
      <c r="H25" s="83"/>
      <c r="I25" s="83"/>
    </row>
    <row r="26" spans="1:9" s="61" customFormat="1" x14ac:dyDescent="0.7">
      <c r="A26" s="61" t="s">
        <v>448</v>
      </c>
      <c r="B26" s="74" t="s">
        <v>449</v>
      </c>
      <c r="C26" s="63">
        <v>4065.8836453975032</v>
      </c>
      <c r="D26" s="67">
        <v>-6.446995123421706E-2</v>
      </c>
      <c r="E26" s="68">
        <v>0.13061041163014178</v>
      </c>
      <c r="F26" s="66">
        <v>10.103632654099725</v>
      </c>
      <c r="H26" s="83"/>
      <c r="I26" s="83"/>
    </row>
    <row r="27" spans="1:9" s="61" customFormat="1" x14ac:dyDescent="0.7">
      <c r="A27" s="59" t="s">
        <v>450</v>
      </c>
      <c r="B27" s="62" t="s">
        <v>451</v>
      </c>
      <c r="C27" s="63">
        <v>6850.1533438915658</v>
      </c>
      <c r="D27" s="64">
        <v>-7.0405963047732834E-2</v>
      </c>
      <c r="E27" s="65">
        <v>0.22005089815790799</v>
      </c>
      <c r="F27" s="66" t="e">
        <v>#N/A</v>
      </c>
      <c r="H27" s="83"/>
      <c r="I27" s="83"/>
    </row>
    <row r="28" spans="1:9" s="61" customFormat="1" x14ac:dyDescent="0.7">
      <c r="A28" s="59" t="s">
        <v>452</v>
      </c>
      <c r="B28" s="59" t="s">
        <v>248</v>
      </c>
      <c r="C28" s="63">
        <v>52.483265703739427</v>
      </c>
      <c r="D28" s="67">
        <v>-2.9101061610143253E-2</v>
      </c>
      <c r="E28" s="68">
        <v>1.6859461644995845E-3</v>
      </c>
      <c r="F28" s="66">
        <v>9.9968125149979858</v>
      </c>
      <c r="H28" s="83"/>
      <c r="I28" s="83"/>
    </row>
    <row r="29" spans="1:9" s="61" customFormat="1" x14ac:dyDescent="0.7">
      <c r="A29" s="59" t="s">
        <v>453</v>
      </c>
      <c r="B29" s="59" t="s">
        <v>118</v>
      </c>
      <c r="C29" s="63">
        <v>398.67963705698395</v>
      </c>
      <c r="D29" s="67">
        <v>-4.5100527664512113E-2</v>
      </c>
      <c r="E29" s="68">
        <v>1.2806985158936437E-2</v>
      </c>
      <c r="F29" s="66">
        <v>6.1887556202574343</v>
      </c>
      <c r="H29" s="84"/>
      <c r="I29" s="84"/>
    </row>
    <row r="30" spans="1:9" s="61" customFormat="1" x14ac:dyDescent="0.7">
      <c r="A30" s="75" t="s">
        <v>29</v>
      </c>
      <c r="B30" s="59" t="s">
        <v>454</v>
      </c>
      <c r="C30" s="63">
        <v>2353.8013822168182</v>
      </c>
      <c r="D30" s="67">
        <v>-8.1657360521311562E-2</v>
      </c>
      <c r="E30" s="68">
        <v>7.5612337744819846E-2</v>
      </c>
      <c r="F30" s="66">
        <v>8.3088050485962022</v>
      </c>
      <c r="H30" s="84"/>
      <c r="I30" s="84"/>
    </row>
    <row r="31" spans="1:9" s="61" customFormat="1" x14ac:dyDescent="0.7">
      <c r="A31" s="59" t="s">
        <v>455</v>
      </c>
      <c r="B31" s="59" t="s">
        <v>119</v>
      </c>
      <c r="C31" s="63">
        <v>795.60053497440015</v>
      </c>
      <c r="D31" s="67">
        <v>-6.5674086163721168E-2</v>
      </c>
      <c r="E31" s="68">
        <v>2.5557473461837898E-2</v>
      </c>
      <c r="F31" s="66">
        <v>9.6635556294716398</v>
      </c>
      <c r="H31" s="84"/>
      <c r="I31" s="84"/>
    </row>
    <row r="32" spans="1:9" s="61" customFormat="1" x14ac:dyDescent="0.7">
      <c r="A32" s="59" t="s">
        <v>456</v>
      </c>
      <c r="B32" s="59" t="s">
        <v>253</v>
      </c>
      <c r="C32" s="63">
        <v>100.42395168045304</v>
      </c>
      <c r="D32" s="67">
        <v>-5.7994587704752631E-2</v>
      </c>
      <c r="E32" s="68">
        <v>3.2259687709846178E-3</v>
      </c>
      <c r="F32" s="66">
        <v>9.3530736407239488</v>
      </c>
      <c r="H32" s="84"/>
      <c r="I32" s="84"/>
    </row>
    <row r="33" spans="1:9" s="61" customFormat="1" x14ac:dyDescent="0.7">
      <c r="A33" s="59" t="s">
        <v>457</v>
      </c>
      <c r="B33" s="59" t="s">
        <v>187</v>
      </c>
      <c r="C33" s="63">
        <v>53.598050429229225</v>
      </c>
      <c r="D33" s="67">
        <v>-9.0674956235275772E-2</v>
      </c>
      <c r="E33" s="68">
        <v>1.7217569511756953E-3</v>
      </c>
      <c r="F33" s="66">
        <v>5.4106652967120157</v>
      </c>
      <c r="H33" s="84"/>
      <c r="I33" s="84"/>
    </row>
    <row r="34" spans="1:9" s="61" customFormat="1" x14ac:dyDescent="0.7">
      <c r="A34" s="59" t="s">
        <v>458</v>
      </c>
      <c r="B34" s="59" t="s">
        <v>262</v>
      </c>
      <c r="C34" s="63">
        <v>3.5463879639689342</v>
      </c>
      <c r="D34" s="67">
        <v>3.0126519807520902E-2</v>
      </c>
      <c r="E34" s="68">
        <v>1.1392239231894656E-4</v>
      </c>
      <c r="F34" s="66" t="e">
        <v>#N/A</v>
      </c>
      <c r="H34" s="84"/>
      <c r="I34" s="84"/>
    </row>
    <row r="35" spans="1:9" s="61" customFormat="1" x14ac:dyDescent="0.7">
      <c r="A35" s="59" t="s">
        <v>459</v>
      </c>
      <c r="B35" s="59" t="s">
        <v>139</v>
      </c>
      <c r="C35" s="63">
        <v>388.47677928915999</v>
      </c>
      <c r="D35" s="67">
        <v>2.5484220382826939E-2</v>
      </c>
      <c r="E35" s="68">
        <v>1.2479233661579214E-2</v>
      </c>
      <c r="F35" s="66">
        <v>1.6846420812282794</v>
      </c>
      <c r="H35" s="84"/>
      <c r="I35" s="84"/>
    </row>
    <row r="36" spans="1:9" s="61" customFormat="1" x14ac:dyDescent="0.7">
      <c r="A36" s="59" t="s">
        <v>460</v>
      </c>
      <c r="B36" s="59" t="s">
        <v>138</v>
      </c>
      <c r="C36" s="63">
        <v>1539.0523826167764</v>
      </c>
      <c r="D36" s="67">
        <v>6.989211084887037E-2</v>
      </c>
      <c r="E36" s="68">
        <v>4.943974858736401E-2</v>
      </c>
      <c r="F36" s="66">
        <v>1.3303267726426846</v>
      </c>
      <c r="H36" s="84"/>
      <c r="I36" s="84"/>
    </row>
    <row r="37" spans="1:9" s="61" customFormat="1" x14ac:dyDescent="0.7">
      <c r="A37" s="59" t="s">
        <v>461</v>
      </c>
      <c r="B37" s="59" t="s">
        <v>462</v>
      </c>
      <c r="C37" s="63">
        <v>40.0764012912</v>
      </c>
      <c r="D37" s="67">
        <v>-8.1946073224713034E-2</v>
      </c>
      <c r="E37" s="68">
        <v>1.2873942605867745E-3</v>
      </c>
      <c r="F37" s="66">
        <v>9.5351894578158447</v>
      </c>
      <c r="H37" s="84"/>
      <c r="I37" s="84"/>
    </row>
    <row r="38" spans="1:9" s="61" customFormat="1" x14ac:dyDescent="0.7">
      <c r="A38" s="59" t="s">
        <v>463</v>
      </c>
      <c r="B38" s="59" t="s">
        <v>128</v>
      </c>
      <c r="C38" s="63">
        <v>540.27574606387248</v>
      </c>
      <c r="D38" s="67">
        <v>4.5747952812556836E-2</v>
      </c>
      <c r="E38" s="68">
        <v>1.7355547709060292E-2</v>
      </c>
      <c r="F38" s="66">
        <v>8.1331308022681732</v>
      </c>
      <c r="H38" s="84"/>
      <c r="I38" s="84"/>
    </row>
    <row r="39" spans="1:9" s="61" customFormat="1" x14ac:dyDescent="0.7">
      <c r="A39" s="59" t="s">
        <v>464</v>
      </c>
      <c r="B39" s="59" t="s">
        <v>122</v>
      </c>
      <c r="C39" s="63">
        <v>434.84087016567003</v>
      </c>
      <c r="D39" s="67">
        <v>-8.6804165568167835E-2</v>
      </c>
      <c r="E39" s="68">
        <v>1.3968610516003744E-2</v>
      </c>
      <c r="F39" s="66">
        <v>7.481004544707532</v>
      </c>
      <c r="H39" s="84"/>
      <c r="I39" s="84"/>
    </row>
    <row r="40" spans="1:9" s="61" customFormat="1" x14ac:dyDescent="0.7">
      <c r="A40" s="61" t="s">
        <v>465</v>
      </c>
      <c r="B40" s="59" t="s">
        <v>140</v>
      </c>
      <c r="C40" s="63">
        <v>1222.0684602483916</v>
      </c>
      <c r="D40" s="67">
        <v>-0.11752302624689481</v>
      </c>
      <c r="E40" s="68">
        <v>3.9257115686017419E-2</v>
      </c>
      <c r="F40" s="66">
        <v>9.6166043189542858</v>
      </c>
      <c r="H40" s="84"/>
      <c r="I40" s="84"/>
    </row>
    <row r="41" spans="1:9" s="61" customFormat="1" x14ac:dyDescent="0.7">
      <c r="A41" s="59" t="s">
        <v>466</v>
      </c>
      <c r="B41" s="59" t="s">
        <v>127</v>
      </c>
      <c r="C41" s="63">
        <v>209.16836098054043</v>
      </c>
      <c r="D41" s="67">
        <v>-2.5267179477080792E-2</v>
      </c>
      <c r="E41" s="68">
        <v>6.719219758931287E-3</v>
      </c>
      <c r="F41" s="66">
        <v>13.583243131407261</v>
      </c>
      <c r="H41" s="84"/>
      <c r="I41" s="84"/>
    </row>
    <row r="42" spans="1:9" s="61" customFormat="1" x14ac:dyDescent="0.7">
      <c r="A42" s="61" t="s">
        <v>467</v>
      </c>
      <c r="B42" s="59" t="s">
        <v>373</v>
      </c>
      <c r="C42" s="63">
        <v>663.34204139840688</v>
      </c>
      <c r="D42" s="67">
        <v>1.7895289485514887E-2</v>
      </c>
      <c r="E42" s="68">
        <v>2.1308867797212663E-2</v>
      </c>
      <c r="F42" s="66">
        <v>13.674617934783377</v>
      </c>
      <c r="H42" s="84"/>
      <c r="I42" s="84"/>
    </row>
    <row r="43" spans="1:9" s="61" customFormat="1" x14ac:dyDescent="0.7">
      <c r="A43" s="59" t="s">
        <v>468</v>
      </c>
      <c r="B43" s="59" t="s">
        <v>271</v>
      </c>
      <c r="C43" s="63">
        <v>87.23966671393795</v>
      </c>
      <c r="D43" s="67">
        <v>8.2976086186421938E-2</v>
      </c>
      <c r="E43" s="68">
        <v>2.8024433982221926E-3</v>
      </c>
      <c r="F43" s="66">
        <v>32.394974643125863</v>
      </c>
      <c r="H43" s="84"/>
      <c r="I43" s="84"/>
    </row>
    <row r="44" spans="1:9" s="61" customFormat="1" x14ac:dyDescent="0.7">
      <c r="A44" s="59" t="s">
        <v>469</v>
      </c>
      <c r="B44" s="62" t="s">
        <v>470</v>
      </c>
      <c r="C44" s="63">
        <v>1159.4551353275604</v>
      </c>
      <c r="D44" s="64">
        <v>-2.1052695876546346E-2</v>
      </c>
      <c r="E44" s="65">
        <v>3.7245756568375456E-2</v>
      </c>
      <c r="F44" s="66">
        <v>1.9853989793122846</v>
      </c>
      <c r="H44" s="84"/>
      <c r="I44" s="84"/>
    </row>
    <row r="45" spans="1:9" s="61" customFormat="1" x14ac:dyDescent="0.7">
      <c r="A45" s="59" t="s">
        <v>471</v>
      </c>
      <c r="B45" s="59" t="s">
        <v>278</v>
      </c>
      <c r="C45" s="63">
        <v>15.304020090580872</v>
      </c>
      <c r="D45" s="67">
        <v>-9.736917706783299E-2</v>
      </c>
      <c r="E45" s="68">
        <v>4.9161868315867837E-4</v>
      </c>
      <c r="F45" s="66">
        <v>4.3049282955220454</v>
      </c>
      <c r="H45" s="84"/>
      <c r="I45" s="84"/>
    </row>
    <row r="46" spans="1:9" s="61" customFormat="1" x14ac:dyDescent="0.7">
      <c r="A46" s="61" t="s">
        <v>472</v>
      </c>
      <c r="B46" s="59" t="s">
        <v>283</v>
      </c>
      <c r="C46" s="63">
        <v>148.0350416329569</v>
      </c>
      <c r="D46" s="67">
        <v>-5.9744742308593168E-2</v>
      </c>
      <c r="E46" s="68">
        <v>4.75540359971993E-3</v>
      </c>
      <c r="F46" s="66">
        <v>5.7565345167583182</v>
      </c>
      <c r="H46" s="84"/>
      <c r="I46" s="84"/>
    </row>
    <row r="47" spans="1:9" s="61" customFormat="1" x14ac:dyDescent="0.7">
      <c r="A47" s="59" t="s">
        <v>473</v>
      </c>
      <c r="B47" s="59" t="s">
        <v>111</v>
      </c>
      <c r="C47" s="63">
        <v>436.82361835051938</v>
      </c>
      <c r="D47" s="67">
        <v>-6.2803627229001124E-3</v>
      </c>
      <c r="E47" s="68">
        <v>1.4032303326513765E-2</v>
      </c>
      <c r="F47" s="66">
        <v>3.9278460809132056</v>
      </c>
      <c r="H47" s="84"/>
      <c r="I47" s="84"/>
    </row>
    <row r="48" spans="1:9" s="61" customFormat="1" x14ac:dyDescent="0.7">
      <c r="A48" s="59" t="s">
        <v>474</v>
      </c>
      <c r="B48" s="62" t="s">
        <v>131</v>
      </c>
      <c r="C48" s="63">
        <v>1799.2569531730148</v>
      </c>
      <c r="D48" s="64">
        <v>4.0059711415901367E-2</v>
      </c>
      <c r="E48" s="65">
        <v>5.7798430003853971E-2</v>
      </c>
      <c r="F48" s="66" t="e">
        <v>#N/A</v>
      </c>
      <c r="H48" s="84"/>
      <c r="I48" s="84"/>
    </row>
    <row r="49" spans="1:9" s="61" customFormat="1" x14ac:dyDescent="0.7">
      <c r="A49" s="59" t="s">
        <v>475</v>
      </c>
      <c r="B49" s="62" t="s">
        <v>113</v>
      </c>
      <c r="C49" s="63">
        <v>6981.3854752332436</v>
      </c>
      <c r="D49" s="64">
        <v>-6.0529243541868172E-2</v>
      </c>
      <c r="E49" s="65">
        <v>0.2242665334757164</v>
      </c>
      <c r="F49" s="66">
        <v>3310.2823495653124</v>
      </c>
      <c r="H49" s="84"/>
      <c r="I49" s="84"/>
    </row>
    <row r="50" spans="1:9" s="61" customFormat="1" x14ac:dyDescent="0.7">
      <c r="A50" s="59" t="s">
        <v>476</v>
      </c>
      <c r="B50" s="59" t="s">
        <v>123</v>
      </c>
      <c r="C50" s="63">
        <v>265.09709268314674</v>
      </c>
      <c r="D50" s="67">
        <v>-2.5509717452100178E-2</v>
      </c>
      <c r="E50" s="68">
        <v>8.5158463490448873E-3</v>
      </c>
      <c r="F50" s="66">
        <v>15.858883266519904</v>
      </c>
      <c r="H50" s="84"/>
      <c r="I50" s="84"/>
    </row>
    <row r="51" spans="1:9" s="61" customFormat="1" x14ac:dyDescent="0.7">
      <c r="A51" s="59" t="s">
        <v>477</v>
      </c>
      <c r="B51" s="59" t="s">
        <v>300</v>
      </c>
      <c r="C51" s="63">
        <v>39.928289047626009</v>
      </c>
      <c r="D51" s="67">
        <v>-3.4009321748697641E-2</v>
      </c>
      <c r="E51" s="68">
        <v>1.2826363769905332E-3</v>
      </c>
      <c r="F51" s="66">
        <v>8.566464073723667</v>
      </c>
      <c r="H51" s="84"/>
      <c r="I51" s="84"/>
    </row>
    <row r="52" spans="1:9" s="61" customFormat="1" x14ac:dyDescent="0.7">
      <c r="A52" s="61" t="s">
        <v>478</v>
      </c>
      <c r="B52" s="59" t="s">
        <v>297</v>
      </c>
      <c r="C52" s="63">
        <v>36.159731051987997</v>
      </c>
      <c r="D52" s="67">
        <v>-5.6368736592419144E-2</v>
      </c>
      <c r="E52" s="68">
        <v>1.1615771057495773E-3</v>
      </c>
      <c r="F52" s="66">
        <v>8.5828936748131959</v>
      </c>
      <c r="H52" s="84"/>
      <c r="I52" s="84"/>
    </row>
    <row r="53" spans="1:9" s="61" customFormat="1" x14ac:dyDescent="0.7">
      <c r="A53" s="61" t="s">
        <v>479</v>
      </c>
      <c r="B53" s="70" t="s">
        <v>480</v>
      </c>
      <c r="C53" s="71">
        <v>13523.587230336445</v>
      </c>
      <c r="D53" s="72">
        <v>-6.1769131177636605E-2</v>
      </c>
      <c r="E53" s="73">
        <v>0.4344249488963639</v>
      </c>
      <c r="F53" s="66" t="e">
        <v>#N/A</v>
      </c>
      <c r="H53" s="84"/>
      <c r="I53" s="84"/>
    </row>
    <row r="54" spans="1:9" s="61" customFormat="1" x14ac:dyDescent="0.7">
      <c r="A54" s="75" t="s">
        <v>481</v>
      </c>
      <c r="B54" s="59" t="s">
        <v>482</v>
      </c>
      <c r="C54" s="63">
        <v>15252.469984869504</v>
      </c>
      <c r="D54" s="67">
        <v>5.2739601073510167E-2</v>
      </c>
      <c r="E54" s="68">
        <v>0.48996271335881442</v>
      </c>
      <c r="F54" s="66" t="e">
        <v>#N/A</v>
      </c>
      <c r="H54" s="84"/>
      <c r="I54" s="84"/>
    </row>
    <row r="55" spans="1:9" s="61" customFormat="1" x14ac:dyDescent="0.7">
      <c r="A55" s="59" t="s">
        <v>483</v>
      </c>
      <c r="B55" s="59" t="s">
        <v>484</v>
      </c>
      <c r="C55" s="63">
        <v>295.05499739733597</v>
      </c>
      <c r="D55" s="67">
        <v>-3.6667888564876572E-2</v>
      </c>
      <c r="E55" s="68">
        <v>9.4781990889532333E-3</v>
      </c>
      <c r="F55" s="66" t="e">
        <v>#N/A</v>
      </c>
      <c r="H55" s="84"/>
      <c r="I55" s="84"/>
    </row>
    <row r="56" spans="1:9" s="61" customFormat="1" x14ac:dyDescent="0.7">
      <c r="A56" s="61" t="s">
        <v>485</v>
      </c>
      <c r="B56" s="59" t="s">
        <v>486</v>
      </c>
      <c r="C56" s="63">
        <v>229.14171612472214</v>
      </c>
      <c r="D56" s="67">
        <v>0.10222539361143057</v>
      </c>
      <c r="E56" s="68">
        <v>7.3608338247862235E-3</v>
      </c>
      <c r="F56" s="66" t="e">
        <v>#N/A</v>
      </c>
      <c r="H56" s="84"/>
      <c r="I56" s="84"/>
    </row>
    <row r="57" spans="1:9" s="61" customFormat="1" x14ac:dyDescent="0.7">
      <c r="A57" s="59" t="s">
        <v>487</v>
      </c>
      <c r="B57" s="59" t="s">
        <v>488</v>
      </c>
      <c r="C57" s="63">
        <v>178.93056687460845</v>
      </c>
      <c r="D57" s="67">
        <v>-4.0455256645178572E-2</v>
      </c>
      <c r="E57" s="68">
        <v>5.747875992261068E-3</v>
      </c>
      <c r="F57" s="66" t="e">
        <v>#N/A</v>
      </c>
      <c r="H57" s="84"/>
      <c r="I57" s="84"/>
    </row>
    <row r="58" spans="1:9" s="61" customFormat="1" x14ac:dyDescent="0.7">
      <c r="A58" s="59" t="s">
        <v>489</v>
      </c>
      <c r="B58" s="59" t="s">
        <v>490</v>
      </c>
      <c r="C58" s="63">
        <v>243.84765261707832</v>
      </c>
      <c r="D58" s="67">
        <v>-1.6699248507505926E-2</v>
      </c>
      <c r="E58" s="68">
        <v>7.833239969720452E-3</v>
      </c>
      <c r="F58" s="66" t="e">
        <v>#N/A</v>
      </c>
      <c r="H58" s="84"/>
      <c r="I58" s="84"/>
    </row>
    <row r="59" spans="1:9" s="61" customFormat="1" x14ac:dyDescent="0.7">
      <c r="A59" s="59" t="s">
        <v>491</v>
      </c>
      <c r="B59" s="59" t="s">
        <v>492</v>
      </c>
      <c r="C59" s="63">
        <v>372.4891683076695</v>
      </c>
      <c r="D59" s="67">
        <v>3.3858701419581694E-2</v>
      </c>
      <c r="E59" s="68">
        <v>1.1965655646714281E-2</v>
      </c>
      <c r="F59" s="66" t="e">
        <v>#N/A</v>
      </c>
      <c r="H59" s="84"/>
      <c r="I59" s="84"/>
    </row>
    <row r="60" spans="1:9" s="61" customFormat="1" x14ac:dyDescent="0.7">
      <c r="A60" s="61" t="s">
        <v>493</v>
      </c>
      <c r="B60" s="59" t="s">
        <v>302</v>
      </c>
      <c r="C60" s="63">
        <v>160.38473536968641</v>
      </c>
      <c r="D60" s="67">
        <v>9.7704987088020889E-3</v>
      </c>
      <c r="E60" s="68">
        <v>5.1521189814516003E-3</v>
      </c>
      <c r="F60" s="66">
        <v>0.91869431815789071</v>
      </c>
      <c r="H60" s="84"/>
      <c r="I60" s="84"/>
    </row>
    <row r="61" spans="1:9" s="61" customFormat="1" x14ac:dyDescent="0.7">
      <c r="A61" s="59" t="s">
        <v>494</v>
      </c>
      <c r="B61" s="70" t="s">
        <v>306</v>
      </c>
      <c r="C61" s="71">
        <v>35.460792122453654</v>
      </c>
      <c r="D61" s="72">
        <v>6.9902358692946587E-2</v>
      </c>
      <c r="E61" s="73">
        <v>1.1391247413308E-3</v>
      </c>
      <c r="F61" s="66">
        <v>1.2001486486768083</v>
      </c>
      <c r="H61" s="84"/>
      <c r="I61" s="84"/>
    </row>
    <row r="62" spans="1:9" s="61" customFormat="1" x14ac:dyDescent="0.7">
      <c r="A62" s="61" t="s">
        <v>495</v>
      </c>
      <c r="B62" s="59" t="s">
        <v>307</v>
      </c>
      <c r="C62" s="63">
        <v>71.305269927796402</v>
      </c>
      <c r="D62" s="67">
        <v>-9.3020827281009577E-3</v>
      </c>
      <c r="E62" s="68">
        <v>2.2905748095399191E-3</v>
      </c>
      <c r="F62" s="66">
        <v>0.72777559965906691</v>
      </c>
      <c r="H62" s="84"/>
      <c r="I62" s="84"/>
    </row>
    <row r="63" spans="1:9" s="61" customFormat="1" x14ac:dyDescent="0.7">
      <c r="A63" s="59" t="s">
        <v>496</v>
      </c>
      <c r="B63" s="59" t="s">
        <v>188</v>
      </c>
      <c r="C63" s="63">
        <v>320.44342824231842</v>
      </c>
      <c r="D63" s="67">
        <v>-2.1946508702512468E-2</v>
      </c>
      <c r="E63" s="68">
        <v>1.029376433688161E-2</v>
      </c>
      <c r="F63" s="66">
        <v>8.3268827337348554</v>
      </c>
      <c r="H63" s="85"/>
      <c r="I63" s="85"/>
    </row>
    <row r="64" spans="1:9" s="61" customFormat="1" x14ac:dyDescent="0.7">
      <c r="A64" s="59" t="s">
        <v>497</v>
      </c>
      <c r="B64" s="59" t="s">
        <v>308</v>
      </c>
      <c r="C64" s="63">
        <v>62.733705793457425</v>
      </c>
      <c r="D64" s="67">
        <v>-1.7646541217544387E-2</v>
      </c>
      <c r="E64" s="68">
        <v>2.0152261725548287E-3</v>
      </c>
      <c r="F64" s="66">
        <v>5.8585829093628528</v>
      </c>
      <c r="H64" s="85"/>
      <c r="I64" s="85"/>
    </row>
    <row r="65" spans="1:9" s="61" customFormat="1" x14ac:dyDescent="0.7">
      <c r="A65" s="59" t="s">
        <v>498</v>
      </c>
      <c r="B65" s="59" t="s">
        <v>309</v>
      </c>
      <c r="C65" s="63">
        <v>69.794106449287014</v>
      </c>
      <c r="D65" s="67">
        <v>4.8777037452342631E-2</v>
      </c>
      <c r="E65" s="68">
        <v>2.2420309501523122E-3</v>
      </c>
      <c r="F65" s="66">
        <v>83.786442316070833</v>
      </c>
      <c r="H65" s="85"/>
      <c r="I65" s="85"/>
    </row>
    <row r="66" spans="1:9" s="61" customFormat="1" x14ac:dyDescent="0.7">
      <c r="A66" s="59" t="s">
        <v>499</v>
      </c>
      <c r="B66" s="59" t="s">
        <v>189</v>
      </c>
      <c r="C66" s="63">
        <v>83.715951853167823</v>
      </c>
      <c r="D66" s="67">
        <v>-0.11622677717328067</v>
      </c>
      <c r="E66" s="68">
        <v>2.6892493453246364E-3</v>
      </c>
      <c r="F66" s="66">
        <v>3.768442577230152</v>
      </c>
      <c r="H66" s="85"/>
      <c r="I66" s="85"/>
    </row>
    <row r="67" spans="1:9" s="61" customFormat="1" x14ac:dyDescent="0.7">
      <c r="A67" s="59" t="s">
        <v>500</v>
      </c>
      <c r="B67" s="70" t="s">
        <v>501</v>
      </c>
      <c r="C67" s="71">
        <v>1535.342289877834</v>
      </c>
      <c r="D67" s="72">
        <v>-8.4024440568442715E-2</v>
      </c>
      <c r="E67" s="73">
        <v>4.9320567424772747E-2</v>
      </c>
      <c r="F67" s="66">
        <v>10.963519896871873</v>
      </c>
      <c r="H67" s="85"/>
      <c r="I67" s="85"/>
    </row>
    <row r="68" spans="1:9" s="61" customFormat="1" x14ac:dyDescent="0.7">
      <c r="A68" s="59" t="s">
        <v>502</v>
      </c>
      <c r="B68" s="59" t="s">
        <v>129</v>
      </c>
      <c r="C68" s="63">
        <v>537.60296056206687</v>
      </c>
      <c r="D68" s="67">
        <v>5.3856561670417857E-2</v>
      </c>
      <c r="E68" s="68">
        <v>1.7269688485079527E-2</v>
      </c>
      <c r="F68" s="66">
        <v>18.740299109773307</v>
      </c>
      <c r="H68" s="85"/>
      <c r="I68" s="85"/>
    </row>
    <row r="69" spans="1:9" s="61" customFormat="1" x14ac:dyDescent="0.7">
      <c r="A69" s="61" t="s">
        <v>503</v>
      </c>
      <c r="B69" s="59" t="s">
        <v>317</v>
      </c>
      <c r="C69" s="63">
        <v>180.20503856325809</v>
      </c>
      <c r="D69" s="67">
        <v>3.7275806617269369E-2</v>
      </c>
      <c r="E69" s="68">
        <v>5.7888164830333308E-3</v>
      </c>
      <c r="F69" s="66">
        <v>38.687213087861338</v>
      </c>
      <c r="H69" s="85"/>
      <c r="I69" s="85"/>
    </row>
    <row r="70" spans="1:9" s="61" customFormat="1" x14ac:dyDescent="0.7">
      <c r="A70" s="59" t="s">
        <v>504</v>
      </c>
      <c r="B70" s="59" t="s">
        <v>376</v>
      </c>
      <c r="C70" s="63">
        <v>38.097873907983654</v>
      </c>
      <c r="D70" s="67">
        <v>-4.6510480441503632E-2</v>
      </c>
      <c r="E70" s="68">
        <v>1.2238370369962971E-3</v>
      </c>
      <c r="F70" s="66" t="e">
        <v>#N/A</v>
      </c>
      <c r="H70" s="85"/>
      <c r="I70" s="85"/>
    </row>
    <row r="71" spans="1:9" s="61" customFormat="1" x14ac:dyDescent="0.7">
      <c r="A71" s="59" t="s">
        <v>505</v>
      </c>
      <c r="B71" s="59" t="s">
        <v>124</v>
      </c>
      <c r="C71" s="63">
        <v>338.67317438639998</v>
      </c>
      <c r="D71" s="67">
        <v>-0.1063145163389112</v>
      </c>
      <c r="E71" s="68">
        <v>1.0879367579730608E-2</v>
      </c>
      <c r="F71" s="66">
        <v>8.3571418725823552</v>
      </c>
      <c r="H71" s="85"/>
      <c r="I71" s="85"/>
    </row>
    <row r="72" spans="1:9" s="61" customFormat="1" x14ac:dyDescent="0.7">
      <c r="A72" s="59" t="s">
        <v>506</v>
      </c>
      <c r="B72" s="59" t="s">
        <v>145</v>
      </c>
      <c r="C72" s="63">
        <v>50.911885385380401</v>
      </c>
      <c r="D72" s="67">
        <v>-6.0437203058685052E-2</v>
      </c>
      <c r="E72" s="68">
        <v>1.6354679294815458E-3</v>
      </c>
      <c r="F72" s="66">
        <v>5.6194133979448573</v>
      </c>
      <c r="H72" s="85"/>
      <c r="I72" s="85"/>
    </row>
    <row r="73" spans="1:9" s="61" customFormat="1" x14ac:dyDescent="0.7">
      <c r="A73" s="59" t="s">
        <v>507</v>
      </c>
      <c r="B73" s="59" t="s">
        <v>146</v>
      </c>
      <c r="C73" s="63">
        <v>44.485552764836989</v>
      </c>
      <c r="D73" s="67">
        <v>1.2068782961417224E-2</v>
      </c>
      <c r="E73" s="68">
        <v>1.4290316361578288E-3</v>
      </c>
      <c r="F73" s="66">
        <v>5.8502831095261687</v>
      </c>
      <c r="H73" s="85"/>
      <c r="I73" s="85"/>
    </row>
    <row r="74" spans="1:9" s="61" customFormat="1" x14ac:dyDescent="0.7">
      <c r="A74" s="61" t="s">
        <v>508</v>
      </c>
      <c r="B74" s="59" t="s">
        <v>143</v>
      </c>
      <c r="C74" s="63">
        <v>320.25856310389599</v>
      </c>
      <c r="D74" s="67">
        <v>-3.3065022424348944E-2</v>
      </c>
      <c r="E74" s="68">
        <v>1.0287825821682644E-2</v>
      </c>
      <c r="F74" s="66">
        <v>13.940043662570558</v>
      </c>
      <c r="H74" s="85"/>
      <c r="I74" s="85"/>
    </row>
    <row r="75" spans="1:9" s="61" customFormat="1" x14ac:dyDescent="0.7">
      <c r="A75" s="61" t="s">
        <v>509</v>
      </c>
      <c r="B75" s="59" t="s">
        <v>144</v>
      </c>
      <c r="C75" s="63">
        <v>274.41157086589675</v>
      </c>
      <c r="D75" s="67">
        <v>6.8026836420038705E-3</v>
      </c>
      <c r="E75" s="68">
        <v>8.8150599851621152E-3</v>
      </c>
      <c r="F75" s="66">
        <v>4.1578770700005565</v>
      </c>
      <c r="H75" s="85"/>
      <c r="I75" s="85"/>
    </row>
    <row r="76" spans="1:9" s="61" customFormat="1" x14ac:dyDescent="0.7">
      <c r="A76" s="59" t="s">
        <v>510</v>
      </c>
      <c r="B76" s="59" t="s">
        <v>156</v>
      </c>
      <c r="C76" s="63">
        <v>57.855539164040039</v>
      </c>
      <c r="D76" s="67">
        <v>3.4836591225009483E-2</v>
      </c>
      <c r="E76" s="68">
        <v>1.8585223888177179E-3</v>
      </c>
      <c r="F76" s="66">
        <v>11.84350852897442</v>
      </c>
      <c r="H76" s="85"/>
      <c r="I76" s="85"/>
    </row>
    <row r="77" spans="1:9" s="61" customFormat="1" x14ac:dyDescent="0.7">
      <c r="A77" s="59" t="s">
        <v>511</v>
      </c>
      <c r="B77" s="59" t="s">
        <v>125</v>
      </c>
      <c r="C77" s="63">
        <v>264.06125922444494</v>
      </c>
      <c r="D77" s="67">
        <v>-9.8111731981924022E-2</v>
      </c>
      <c r="E77" s="68">
        <v>8.4825717533553464E-3</v>
      </c>
      <c r="F77" s="66">
        <v>3.4380290501320849</v>
      </c>
      <c r="H77" s="85"/>
      <c r="I77" s="85"/>
    </row>
    <row r="78" spans="1:9" s="61" customFormat="1" x14ac:dyDescent="0.7">
      <c r="A78" s="59" t="s">
        <v>512</v>
      </c>
      <c r="B78" s="59" t="s">
        <v>130</v>
      </c>
      <c r="C78" s="63">
        <v>191.85530507618083</v>
      </c>
      <c r="D78" s="67">
        <v>-2.0106483139958442E-2</v>
      </c>
      <c r="E78" s="68">
        <v>6.1630638146253618E-3</v>
      </c>
      <c r="F78" s="66">
        <v>39.986516272651279</v>
      </c>
      <c r="H78" s="85"/>
      <c r="I78" s="85"/>
    </row>
    <row r="79" spans="1:9" s="61" customFormat="1" x14ac:dyDescent="0.7">
      <c r="A79" s="59" t="s">
        <v>513</v>
      </c>
      <c r="B79" s="59" t="s">
        <v>126</v>
      </c>
      <c r="C79" s="63">
        <v>529.05311014212884</v>
      </c>
      <c r="D79" s="67">
        <v>-8.204765392505875E-2</v>
      </c>
      <c r="E79" s="68">
        <v>1.699503736859017E-2</v>
      </c>
      <c r="F79" s="66">
        <v>8.6569651324943777</v>
      </c>
      <c r="H79" s="85"/>
      <c r="I79" s="85"/>
    </row>
    <row r="80" spans="1:9" s="61" customFormat="1" x14ac:dyDescent="0.7">
      <c r="A80" s="59" t="s">
        <v>514</v>
      </c>
      <c r="B80" s="59" t="s">
        <v>191</v>
      </c>
      <c r="C80" s="63">
        <v>280.83943248591845</v>
      </c>
      <c r="D80" s="67">
        <v>-0.15514572889299649</v>
      </c>
      <c r="E80" s="68">
        <v>9.0215453952999514E-3</v>
      </c>
      <c r="F80" s="66">
        <v>6.1452829865627665</v>
      </c>
      <c r="H80" s="85"/>
      <c r="I80" s="85"/>
    </row>
    <row r="81" spans="1:9" s="61" customFormat="1" x14ac:dyDescent="0.7">
      <c r="A81" s="59" t="s">
        <v>515</v>
      </c>
      <c r="B81" s="59" t="s">
        <v>516</v>
      </c>
      <c r="C81" s="63">
        <v>5941.8748820682094</v>
      </c>
      <c r="D81" s="67">
        <v>-6.4516852668357272E-2</v>
      </c>
      <c r="E81" s="68">
        <v>0.19087381535874132</v>
      </c>
      <c r="F81" s="66">
        <v>19.341285112782735</v>
      </c>
      <c r="H81" s="85"/>
      <c r="I81" s="85"/>
    </row>
    <row r="82" spans="1:9" s="61" customFormat="1" x14ac:dyDescent="0.7">
      <c r="A82" s="59" t="s">
        <v>517</v>
      </c>
      <c r="B82" s="59" t="s">
        <v>192</v>
      </c>
      <c r="C82" s="63">
        <v>123.46780106810039</v>
      </c>
      <c r="D82" s="67">
        <v>2.4638190388390768E-3</v>
      </c>
      <c r="E82" s="68">
        <v>3.9662178574213641E-3</v>
      </c>
      <c r="F82" s="66">
        <v>4.4724987708505539</v>
      </c>
      <c r="H82" s="85"/>
      <c r="I82" s="85"/>
    </row>
    <row r="83" spans="1:9" s="61" customFormat="1" x14ac:dyDescent="0.7">
      <c r="A83" s="59" t="s">
        <v>518</v>
      </c>
      <c r="B83" s="59" t="s">
        <v>116</v>
      </c>
      <c r="C83" s="63">
        <v>146.98729608708351</v>
      </c>
      <c r="D83" s="67">
        <v>-7.301933538372718E-3</v>
      </c>
      <c r="E83" s="68">
        <v>4.721746346102975E-3</v>
      </c>
      <c r="F83" s="66">
        <v>5.4815325782988449</v>
      </c>
      <c r="H83" s="85"/>
      <c r="I83" s="85"/>
    </row>
    <row r="84" spans="1:9" s="69" customFormat="1" x14ac:dyDescent="0.7">
      <c r="A84" s="61" t="s">
        <v>519</v>
      </c>
      <c r="B84" s="76" t="s">
        <v>520</v>
      </c>
      <c r="C84" s="77">
        <v>31129.858597422823</v>
      </c>
      <c r="D84" s="78">
        <v>-1.066317726937116E-2</v>
      </c>
      <c r="E84" s="79">
        <v>1</v>
      </c>
      <c r="F84" s="66">
        <v>4.6022269080290847</v>
      </c>
      <c r="G84" s="66">
        <v>2.956792684185269</v>
      </c>
      <c r="H84" s="85"/>
      <c r="I84" s="85"/>
    </row>
    <row r="85" spans="1:9" s="61" customFormat="1" x14ac:dyDescent="0.7">
      <c r="A85" s="59" t="s">
        <v>521</v>
      </c>
      <c r="B85" s="70" t="s">
        <v>134</v>
      </c>
      <c r="C85" s="71">
        <v>468.55611391904131</v>
      </c>
      <c r="D85" s="72">
        <v>-3.0113359753392688E-2</v>
      </c>
      <c r="E85" s="73">
        <v>1.5051662135009894E-2</v>
      </c>
      <c r="F85" s="66">
        <v>9.5522326086406526</v>
      </c>
      <c r="H85" s="85"/>
      <c r="I85" s="85"/>
    </row>
    <row r="86" spans="1:9" s="75" customFormat="1" ht="9.75" customHeight="1" x14ac:dyDescent="0.7">
      <c r="B86" s="80"/>
      <c r="D86" s="81"/>
      <c r="H86" s="85"/>
      <c r="I86" s="85"/>
    </row>
    <row r="87" spans="1:9" s="75" customFormat="1" x14ac:dyDescent="0.7">
      <c r="B87" s="57" t="s">
        <v>522</v>
      </c>
      <c r="H87" s="85"/>
      <c r="I87" s="85"/>
    </row>
    <row r="88" spans="1:9" s="75" customFormat="1" x14ac:dyDescent="0.7">
      <c r="B88" s="57" t="s">
        <v>529</v>
      </c>
      <c r="H88" s="85"/>
      <c r="I88" s="85"/>
    </row>
    <row r="89" spans="1:9" s="75" customFormat="1" x14ac:dyDescent="0.7">
      <c r="B89" s="57" t="s">
        <v>523</v>
      </c>
      <c r="H89" s="85"/>
      <c r="I89" s="85"/>
    </row>
    <row r="90" spans="1:9" s="75" customFormat="1" x14ac:dyDescent="0.7">
      <c r="B90" s="59" t="s">
        <v>524</v>
      </c>
      <c r="H90" s="85"/>
      <c r="I90" s="85"/>
    </row>
    <row r="91" spans="1:9" s="75" customFormat="1" x14ac:dyDescent="0.7">
      <c r="B91" s="59" t="s">
        <v>525</v>
      </c>
      <c r="H91" s="85"/>
      <c r="I91" s="85"/>
    </row>
    <row r="92" spans="1:9" s="75" customFormat="1" x14ac:dyDescent="0.7">
      <c r="B92" s="59" t="s">
        <v>526</v>
      </c>
      <c r="H92" s="85"/>
      <c r="I92" s="85"/>
    </row>
    <row r="93" spans="1:9" s="75" customFormat="1" x14ac:dyDescent="0.7">
      <c r="B93" s="59" t="s">
        <v>527</v>
      </c>
      <c r="H93" s="85"/>
      <c r="I93" s="85"/>
    </row>
    <row r="94" spans="1:9" s="75" customFormat="1" x14ac:dyDescent="0.7">
      <c r="B94" s="59" t="s">
        <v>528</v>
      </c>
      <c r="H94" s="85"/>
      <c r="I94" s="85"/>
    </row>
    <row r="95" spans="1:9" s="82" customFormat="1" x14ac:dyDescent="0.7">
      <c r="H95" s="85"/>
      <c r="I95" s="85"/>
    </row>
    <row r="96" spans="1:9" s="82" customFormat="1" x14ac:dyDescent="0.7">
      <c r="H96" s="85"/>
      <c r="I96" s="85"/>
    </row>
    <row r="97" spans="8:9" s="82" customFormat="1" x14ac:dyDescent="0.7">
      <c r="H97" s="85"/>
      <c r="I97" s="85"/>
    </row>
    <row r="98" spans="8:9" s="82" customFormat="1" x14ac:dyDescent="0.7">
      <c r="H98" s="85"/>
      <c r="I98" s="85"/>
    </row>
    <row r="99" spans="8:9" s="82" customFormat="1" x14ac:dyDescent="0.7">
      <c r="H99" s="85"/>
      <c r="I99" s="85"/>
    </row>
    <row r="100" spans="8:9" s="82" customFormat="1" x14ac:dyDescent="0.7">
      <c r="H100" s="85"/>
      <c r="I100" s="85"/>
    </row>
    <row r="101" spans="8:9" s="82" customFormat="1" x14ac:dyDescent="0.7">
      <c r="H101" s="85"/>
      <c r="I101" s="85"/>
    </row>
    <row r="102" spans="8:9" s="82" customFormat="1" x14ac:dyDescent="0.7">
      <c r="H102" s="85"/>
      <c r="I102" s="85"/>
    </row>
    <row r="103" spans="8:9" s="82" customFormat="1" x14ac:dyDescent="0.7">
      <c r="H103" s="85"/>
      <c r="I103" s="85"/>
    </row>
    <row r="104" spans="8:9" s="82" customFormat="1" x14ac:dyDescent="0.7">
      <c r="H104" s="85"/>
      <c r="I104" s="85"/>
    </row>
    <row r="105" spans="8:9" s="82" customFormat="1" x14ac:dyDescent="0.7">
      <c r="H105" s="85"/>
      <c r="I105" s="85"/>
    </row>
    <row r="106" spans="8:9" s="82" customFormat="1" x14ac:dyDescent="0.7">
      <c r="H106" s="85"/>
      <c r="I106" s="85"/>
    </row>
    <row r="107" spans="8:9" s="82" customFormat="1" x14ac:dyDescent="0.7">
      <c r="H107" s="85"/>
      <c r="I107" s="85"/>
    </row>
    <row r="108" spans="8:9" s="82" customFormat="1" x14ac:dyDescent="0.7">
      <c r="H108" s="85"/>
      <c r="I108" s="85"/>
    </row>
    <row r="109" spans="8:9" s="82" customFormat="1" x14ac:dyDescent="0.7">
      <c r="H109" s="85"/>
      <c r="I109" s="85"/>
    </row>
    <row r="110" spans="8:9" s="82" customFormat="1" x14ac:dyDescent="0.7">
      <c r="H110" s="85"/>
      <c r="I110" s="85"/>
    </row>
    <row r="111" spans="8:9" s="82" customFormat="1" x14ac:dyDescent="0.7">
      <c r="H111" s="85"/>
      <c r="I111" s="85"/>
    </row>
    <row r="112" spans="8:9" s="82" customFormat="1" x14ac:dyDescent="0.7">
      <c r="H112" s="85"/>
      <c r="I112" s="85"/>
    </row>
    <row r="113" spans="8:9" s="82" customFormat="1" x14ac:dyDescent="0.7">
      <c r="H113" s="85"/>
      <c r="I113" s="85"/>
    </row>
    <row r="114" spans="8:9" s="82" customFormat="1" x14ac:dyDescent="0.7">
      <c r="H114" s="85"/>
      <c r="I114" s="85"/>
    </row>
    <row r="115" spans="8:9" s="82" customFormat="1" x14ac:dyDescent="0.7">
      <c r="H115" s="85"/>
      <c r="I115" s="85"/>
    </row>
    <row r="116" spans="8:9" s="82" customFormat="1" x14ac:dyDescent="0.7">
      <c r="H116" s="85"/>
      <c r="I116" s="85"/>
    </row>
    <row r="117" spans="8:9" s="82" customFormat="1" x14ac:dyDescent="0.7">
      <c r="H117" s="85"/>
      <c r="I117" s="85"/>
    </row>
    <row r="118" spans="8:9" s="82" customFormat="1" x14ac:dyDescent="0.7">
      <c r="H118" s="85"/>
      <c r="I118" s="85"/>
    </row>
    <row r="119" spans="8:9" s="82" customFormat="1" x14ac:dyDescent="0.7">
      <c r="H119" s="85"/>
      <c r="I119" s="85"/>
    </row>
    <row r="120" spans="8:9" s="82" customFormat="1" x14ac:dyDescent="0.7">
      <c r="H120" s="85"/>
      <c r="I120" s="85"/>
    </row>
    <row r="121" spans="8:9" s="82" customFormat="1" x14ac:dyDescent="0.7">
      <c r="H121" s="85"/>
      <c r="I121" s="85"/>
    </row>
    <row r="122" spans="8:9" s="82" customFormat="1" x14ac:dyDescent="0.7">
      <c r="H122" s="85"/>
      <c r="I122" s="85"/>
    </row>
    <row r="123" spans="8:9" s="82" customFormat="1" x14ac:dyDescent="0.7">
      <c r="H123" s="85"/>
      <c r="I123" s="85"/>
    </row>
    <row r="124" spans="8:9" s="82" customFormat="1" x14ac:dyDescent="0.7">
      <c r="H124" s="85"/>
      <c r="I124" s="85"/>
    </row>
    <row r="125" spans="8:9" s="82" customFormat="1" x14ac:dyDescent="0.7">
      <c r="H125" s="85"/>
      <c r="I125" s="85"/>
    </row>
    <row r="126" spans="8:9" s="82" customFormat="1" x14ac:dyDescent="0.7">
      <c r="H126" s="85"/>
      <c r="I126" s="85"/>
    </row>
    <row r="127" spans="8:9" s="82" customFormat="1" x14ac:dyDescent="0.7">
      <c r="H127" s="85"/>
      <c r="I127" s="85"/>
    </row>
    <row r="128" spans="8:9" s="82" customFormat="1" x14ac:dyDescent="0.7">
      <c r="H128" s="85"/>
      <c r="I128" s="85"/>
    </row>
  </sheetData>
  <phoneticPr fontId="29" type="noConversion"/>
  <printOptions gridLines="1"/>
  <pageMargins left="0.75" right="0.75" top="1" bottom="1" header="0.5" footer="0.5"/>
  <pageSetup paperSize="8"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
  <sheetViews>
    <sheetView workbookViewId="0">
      <selection activeCell="B5" sqref="B5"/>
    </sheetView>
  </sheetViews>
  <sheetFormatPr defaultColWidth="8" defaultRowHeight="15.5" x14ac:dyDescent="0.35"/>
  <cols>
    <col min="1" max="1" width="12.1640625" style="45" customWidth="1"/>
    <col min="2" max="2" width="32.5" style="45" customWidth="1"/>
    <col min="3" max="3" width="32.08203125" style="45" customWidth="1"/>
    <col min="4" max="16384" width="8" style="45"/>
  </cols>
  <sheetData>
    <row r="1" spans="1:3" ht="19.5" customHeight="1" x14ac:dyDescent="0.45">
      <c r="A1" s="52"/>
      <c r="B1" s="53" t="s">
        <v>405</v>
      </c>
      <c r="C1" s="53" t="s">
        <v>406</v>
      </c>
    </row>
    <row r="2" spans="1:3" ht="17.25" customHeight="1" x14ac:dyDescent="0.35">
      <c r="A2" s="54" t="s">
        <v>407</v>
      </c>
      <c r="B2" s="55" t="s">
        <v>408</v>
      </c>
      <c r="C2" s="55" t="s">
        <v>408</v>
      </c>
    </row>
    <row r="3" spans="1:3" ht="28.5" customHeight="1" x14ac:dyDescent="0.35">
      <c r="A3" s="54" t="s">
        <v>409</v>
      </c>
      <c r="B3" s="56" t="s">
        <v>410</v>
      </c>
      <c r="C3" s="56" t="s">
        <v>411</v>
      </c>
    </row>
    <row r="4" spans="1:3" ht="47.25" customHeight="1" x14ac:dyDescent="0.35">
      <c r="A4" s="54" t="s">
        <v>412</v>
      </c>
      <c r="B4" s="52" t="s">
        <v>413</v>
      </c>
      <c r="C4" s="52" t="s">
        <v>413</v>
      </c>
    </row>
    <row r="5" spans="1:3" ht="17.25" customHeight="1" x14ac:dyDescent="0.35">
      <c r="A5" s="54" t="s">
        <v>414</v>
      </c>
      <c r="B5" s="56" t="s">
        <v>415</v>
      </c>
      <c r="C5" s="56" t="s">
        <v>416</v>
      </c>
    </row>
  </sheetData>
  <phoneticPr fontId="2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
  <sheetViews>
    <sheetView topLeftCell="A13" workbookViewId="0">
      <selection activeCell="O23" sqref="O23"/>
    </sheetView>
  </sheetViews>
  <sheetFormatPr defaultColWidth="8" defaultRowHeight="15.5" x14ac:dyDescent="0.35"/>
  <cols>
    <col min="1" max="16384" width="8" style="45"/>
  </cols>
  <sheetData/>
  <phoneticPr fontId="23"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3"/>
  <sheetViews>
    <sheetView topLeftCell="A10" workbookViewId="0">
      <selection activeCell="H22" sqref="H22"/>
    </sheetView>
  </sheetViews>
  <sheetFormatPr defaultRowHeight="15.5" x14ac:dyDescent="0.35"/>
  <sheetData>
    <row r="1" spans="1:3" x14ac:dyDescent="0.35">
      <c r="A1" t="s">
        <v>349</v>
      </c>
    </row>
    <row r="3" spans="1:3" x14ac:dyDescent="0.35">
      <c r="A3" t="s">
        <v>348</v>
      </c>
      <c r="C3" t="s">
        <v>347</v>
      </c>
    </row>
    <row r="4" spans="1:3" x14ac:dyDescent="0.35">
      <c r="A4" t="s">
        <v>346</v>
      </c>
      <c r="C4">
        <v>12200</v>
      </c>
    </row>
    <row r="5" spans="1:3" x14ac:dyDescent="0.35">
      <c r="A5" t="s">
        <v>345</v>
      </c>
      <c r="C5">
        <v>512</v>
      </c>
    </row>
    <row r="6" spans="1:3" x14ac:dyDescent="0.35">
      <c r="A6" t="s">
        <v>344</v>
      </c>
      <c r="C6">
        <v>4856</v>
      </c>
    </row>
    <row r="7" spans="1:3" x14ac:dyDescent="0.35">
      <c r="A7" t="s">
        <v>343</v>
      </c>
      <c r="C7">
        <v>1201</v>
      </c>
    </row>
    <row r="8" spans="1:3" x14ac:dyDescent="0.35">
      <c r="A8" t="s">
        <v>342</v>
      </c>
      <c r="C8">
        <v>445</v>
      </c>
    </row>
    <row r="9" spans="1:3" x14ac:dyDescent="0.35">
      <c r="A9" t="s">
        <v>341</v>
      </c>
      <c r="C9">
        <v>400</v>
      </c>
    </row>
    <row r="10" spans="1:3" x14ac:dyDescent="0.35">
      <c r="A10" t="s">
        <v>340</v>
      </c>
      <c r="C10">
        <v>1450</v>
      </c>
    </row>
    <row r="11" spans="1:3" x14ac:dyDescent="0.35">
      <c r="A11" t="s">
        <v>339</v>
      </c>
      <c r="C11">
        <v>45</v>
      </c>
    </row>
    <row r="12" spans="1:3" x14ac:dyDescent="0.35">
      <c r="A12" t="s">
        <v>338</v>
      </c>
      <c r="C12">
        <v>145</v>
      </c>
    </row>
    <row r="13" spans="1:3" x14ac:dyDescent="0.35">
      <c r="A13" t="s">
        <v>337</v>
      </c>
      <c r="C13">
        <v>205</v>
      </c>
    </row>
    <row r="14" spans="1:3" x14ac:dyDescent="0.35">
      <c r="A14" t="s">
        <v>336</v>
      </c>
      <c r="C14">
        <v>80</v>
      </c>
    </row>
    <row r="15" spans="1:3" x14ac:dyDescent="0.35">
      <c r="A15" t="s">
        <v>335</v>
      </c>
      <c r="C15">
        <v>227</v>
      </c>
    </row>
    <row r="16" spans="1:3" x14ac:dyDescent="0.35">
      <c r="A16" t="s">
        <v>334</v>
      </c>
      <c r="C16">
        <v>151</v>
      </c>
    </row>
    <row r="17" spans="1:3" x14ac:dyDescent="0.35">
      <c r="A17" t="s">
        <v>333</v>
      </c>
      <c r="C17">
        <v>2475</v>
      </c>
    </row>
    <row r="18" spans="1:3" x14ac:dyDescent="0.35">
      <c r="A18" t="s">
        <v>332</v>
      </c>
      <c r="C18">
        <v>177</v>
      </c>
    </row>
    <row r="19" spans="1:3" x14ac:dyDescent="0.35">
      <c r="A19" t="s">
        <v>331</v>
      </c>
      <c r="C19">
        <v>177</v>
      </c>
    </row>
    <row r="20" spans="1:3" x14ac:dyDescent="0.35">
      <c r="A20" t="s">
        <v>330</v>
      </c>
      <c r="C20">
        <v>2</v>
      </c>
    </row>
    <row r="21" spans="1:3" x14ac:dyDescent="0.35">
      <c r="A21" t="s">
        <v>329</v>
      </c>
      <c r="C21">
        <v>257</v>
      </c>
    </row>
    <row r="23" spans="1:3" x14ac:dyDescent="0.35">
      <c r="A23" t="s">
        <v>328</v>
      </c>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5</vt:i4>
      </vt:variant>
    </vt:vector>
  </HeadingPairs>
  <TitlesOfParts>
    <vt:vector size="29" baseType="lpstr">
      <vt:lpstr>F1201&amp;04</vt:lpstr>
      <vt:lpstr>F1205d</vt:lpstr>
      <vt:lpstr>dscountT</vt:lpstr>
      <vt:lpstr>conserv</vt:lpstr>
      <vt:lpstr>co2Table</vt:lpstr>
      <vt:lpstr>Carbon Dioxide Emissions </vt:lpstr>
      <vt:lpstr>Cap-and-Trade vs Carbon Tax</vt:lpstr>
      <vt:lpstr>Bar Chart</vt:lpstr>
      <vt:lpstr>ApplianWatts</vt:lpstr>
      <vt:lpstr>GHG-equiv</vt:lpstr>
      <vt:lpstr>Historical Vs Present Emissions</vt:lpstr>
      <vt:lpstr>levCost</vt:lpstr>
      <vt:lpstr>PPP2003</vt:lpstr>
      <vt:lpstr>problems</vt:lpstr>
      <vt:lpstr>public good</vt:lpstr>
      <vt:lpstr>Xq-conserv</vt:lpstr>
      <vt:lpstr>xq-loss uncert</vt:lpstr>
      <vt:lpstr>CounGrp</vt:lpstr>
      <vt:lpstr>Kyo</vt:lpstr>
      <vt:lpstr>GHGCount</vt:lpstr>
      <vt:lpstr>DI UNFCCC</vt:lpstr>
      <vt:lpstr>T1201 </vt:lpstr>
      <vt:lpstr>T1202Up</vt:lpstr>
      <vt:lpstr>Sheet1</vt:lpstr>
      <vt:lpstr>F1202</vt:lpstr>
      <vt:lpstr>F1203</vt:lpstr>
      <vt:lpstr>F1204</vt:lpstr>
      <vt:lpstr>F1205</vt:lpstr>
      <vt:lpstr>F1206_1205</vt:lpstr>
    </vt:vector>
  </TitlesOfParts>
  <Company>ECOPETROL GCB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E0227308</dc:creator>
  <cp:lastModifiedBy>author</cp:lastModifiedBy>
  <cp:lastPrinted>2013-05-17T04:35:34Z</cp:lastPrinted>
  <dcterms:created xsi:type="dcterms:W3CDTF">2002-10-24T02:53:02Z</dcterms:created>
  <dcterms:modified xsi:type="dcterms:W3CDTF">2013-08-07T22:17:01Z</dcterms:modified>
</cp:coreProperties>
</file>